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 sheetId="1" r:id="rId5"/>
    <sheet state="visible" name="Plan" sheetId="2" r:id="rId6"/>
    <sheet state="visible" name="WAP for Y-AXIS Walls" sheetId="3" r:id="rId7"/>
    <sheet state="visible" name="WAP for X-AXIS Walls" sheetId="4" r:id="rId8"/>
    <sheet state="visible" name="Detailed Check Y-AXIS Walls" sheetId="5" r:id="rId9"/>
    <sheet state="visible" name="Detailed Check X-AXIS Walls" sheetId="6" r:id="rId10"/>
    <sheet state="visible" name="Reference" sheetId="7" r:id="rId11"/>
  </sheets>
  <definedNames/>
  <calcPr/>
</workbook>
</file>

<file path=xl/sharedStrings.xml><?xml version="1.0" encoding="utf-8"?>
<sst xmlns="http://schemas.openxmlformats.org/spreadsheetml/2006/main" count="3337" uniqueCount="722">
  <si>
    <t>📐  FEUILLE DE CALCUL WAP – ÉVALUATION DE POURCETAGE DE SURFACE DE MUR</t>
  </si>
  <si>
    <t xml:space="preserve">Conformité au Code National du Bâtiment  CNBH </t>
  </si>
  <si>
    <t>Outil de formation – Partie 2 : Évaluation de pourcentage de mur</t>
  </si>
  <si>
    <t>🎯  OBJECTIF DE CET OUTIL</t>
  </si>
  <si>
    <t>▸</t>
  </si>
  <si>
    <t>Cette feuille de calcul permet de vérifier la conformité des pourcentage de surface de mur en maçonnerie chainée d'un bâtiment selon les exigences du Code National du Bâtiment  CNBH-2025</t>
  </si>
  <si>
    <t>Elle calcule le pourcentage de surafce de murs (PSM) requis dans chaque direction (axe X et axe Y) pour résister aux charges latérales (vent et séisme).</t>
  </si>
  <si>
    <t>L’outil est conçu à des fins pédagogiques et est basé sur les règles prescriptives du CNBH. Cette feuille de calcul est fournie à titre indicatif uniquement.
L’utilisateur est seul responsable de la vérification des données d’entrée, de l’interprétation des résultats et de leur utilisation dans le cadre de projets réels. Cette feuille ne remplace en aucun cas le jugement professionnel d’un ingénieur qualifié ni les exigences des normes et réglementations en vigueur.
En conséquence, les auteurs de cette feuille de calcul ne pourront être tenus responsables de toute erreur, omission ou des dommages directs ou indirects résultant de l’utilisation de cette feuille de calcul.</t>
  </si>
  <si>
    <t>📂  STRUCTURE DU CLASSEUR</t>
  </si>
  <si>
    <t>Onglet</t>
  </si>
  <si>
    <t>Nom de la feuille</t>
  </si>
  <si>
    <t>Description</t>
  </si>
  <si>
    <t>2</t>
  </si>
  <si>
    <t>Plan</t>
  </si>
  <si>
    <t>Plan du bâtiment – saisir ici les dimensions et la disposition des murs de refend.</t>
  </si>
  <si>
    <t>3</t>
  </si>
  <si>
    <t>WAP for Y-AXIS Walls</t>
  </si>
  <si>
    <t>Calcul du PSM pour les murs parallèles à l'axe Y (murs transversaux). Résultats principaux de conformité.</t>
  </si>
  <si>
    <t>4</t>
  </si>
  <si>
    <t>WAP for X-AXIS Walls</t>
  </si>
  <si>
    <t>Calcul du PSM pour les murs parallèles à l'axe X (murs longitudinaux). Résultats principaux de conformité.</t>
  </si>
  <si>
    <t>5</t>
  </si>
  <si>
    <t>Detailed check Y-AXIS</t>
  </si>
  <si>
    <t>6</t>
  </si>
  <si>
    <t>Detailed check X-AXIS</t>
  </si>
  <si>
    <t>7</t>
  </si>
  <si>
    <t>Reference</t>
  </si>
  <si>
    <t>Tableau de référence des valeurs Rn (résistance nominale des blocs). Consultation manuelle requise pour saisir Rn.</t>
  </si>
  <si>
    <t>🔧  MODE D'EMPLOI – ÉTAPES À SUIVRE</t>
  </si>
  <si>
    <t>Étape 1</t>
  </si>
  <si>
    <t>Onglet « Plan »</t>
  </si>
  <si>
    <t>Saisir les dimensions du bâtiment (longueur, largeur, nombre d'étages) et la disposition des murs de refend.</t>
  </si>
  <si>
    <t>Étape 2</t>
  </si>
  <si>
    <t>Onglet « Reference »</t>
  </si>
  <si>
    <t>Consulter le tableau Rn selon le type de blocs utilisés et noter la valeur correspondante à saisir manuellement dans les feuilles de calcul.</t>
  </si>
  <si>
    <t>Étape 3</t>
  </si>
  <si>
    <t>WAP Y-AXIS &amp; X-AXIS</t>
  </si>
  <si>
    <t xml:space="preserve">Vérifier les résultats de conformité PSM pour chaque direction. </t>
  </si>
  <si>
    <t>⚠️  IMPORTANT – À LIRE AVANT TOUTE MODIFICATION</t>
  </si>
  <si>
    <t>⚠</t>
  </si>
  <si>
    <t>NE PAS modifier les formules, les structures de cellules ou le format des feuilles de calcul. Ces éléments sont protégés pour garantir l'intégrité des calculs.</t>
  </si>
  <si>
    <t>Seules les cellules de saisie identifiées (généralement sur fond blanc)  doivent être renseignées par l'utilisateur.</t>
  </si>
  <si>
    <t>La valeur Rn (résistance nominale) doit être saisie MANUELLEMENT après consultation du tableau « Reference » – elle ne se calcule pas automatiquement.</t>
  </si>
  <si>
    <t>Cet outil est basé sur les règles prescriptives du CNBH. Il ne remplace pas le jugement d'un ingénieur qualifié pour des cas hors norme.</t>
  </si>
  <si>
    <t>En cas de doute sur une valeur ou un résultat, contacter le formateur ou référer au texte officiel du Code National du Bâtiment.</t>
  </si>
  <si>
    <t>Axe Z</t>
  </si>
  <si>
    <t>Axe-Y sur la ligne centrale du mur</t>
  </si>
  <si>
    <t>centre de masse à la grille 3</t>
  </si>
  <si>
    <t>Dans la page</t>
  </si>
  <si>
    <t>Grille 1</t>
  </si>
  <si>
    <t>Grille 2</t>
  </si>
  <si>
    <t>Grille 3</t>
  </si>
  <si>
    <t>Grille 4</t>
  </si>
  <si>
    <t>Grille 5</t>
  </si>
  <si>
    <t>Origine</t>
  </si>
  <si>
    <t>Grille A, Axe-x</t>
  </si>
  <si>
    <t>Fenêtres</t>
  </si>
  <si>
    <t xml:space="preserve">Dans la ligne central du mur </t>
  </si>
  <si>
    <t>Mur de clôture</t>
  </si>
  <si>
    <t>Façade / Rue</t>
  </si>
  <si>
    <t>Centre de masse à Y=1.8</t>
  </si>
  <si>
    <t>Grille B</t>
  </si>
  <si>
    <t>Largeur = 3.6+ epaisseur du mur</t>
  </si>
  <si>
    <t>Longueur =14.4+ epaisseur du mur</t>
  </si>
  <si>
    <t>Façade, porte et fenêtre maximale</t>
  </si>
  <si>
    <t>Porte simple ou ouverture</t>
  </si>
  <si>
    <t>Entièrement ou principalement solide (mur du site)</t>
  </si>
  <si>
    <t>Remarque : l'axe z est orienté vers l'intérieur de la page, le moment est donc positif dans le sens horaire.</t>
  </si>
  <si>
    <t>Typical door opening, UON:</t>
  </si>
  <si>
    <t>GENERIC PLAN FOR TESTING AND CALIBRATION. WALL LENGTHS VARY IN WAP TABS</t>
  </si>
  <si>
    <t>Front window opening, UON:</t>
  </si>
  <si>
    <t>LA PRINCIPALE CARACTÉRISTIQUE EST UN RAPPORT D'ASPECT DE 4:1, LE PIRE POUR LA TORSION</t>
  </si>
  <si>
    <t>Side window opening UON:</t>
  </si>
  <si>
    <t>Typical door pilaster, at room 
corner:</t>
  </si>
  <si>
    <t>Door to Window Column:</t>
  </si>
  <si>
    <t>Emplacement du bâtiment</t>
  </si>
  <si>
    <t>Date:</t>
  </si>
  <si>
    <t>Description:</t>
  </si>
  <si>
    <t>Exemple 0 : Plan rectangulaire avec un rapport d'aspect d'environ 4:1 (maximum). Utilisé pour tester les règles de torsion.</t>
  </si>
  <si>
    <t>Ingénieur:</t>
  </si>
  <si>
    <t>Accepté par :</t>
  </si>
  <si>
    <t>Informations sur le bâtiment</t>
  </si>
  <si>
    <t>Voir les tableaux de référence pour les requêtes</t>
  </si>
  <si>
    <t xml:space="preserve">Largeur du mur utilisée ici : </t>
  </si>
  <si>
    <t>m</t>
  </si>
  <si>
    <t>ENTREZ UNIQUEMENT LES CELLULES GRISES ICI</t>
  </si>
  <si>
    <t xml:space="preserve">Surface du bâtiment : </t>
  </si>
  <si>
    <t>m2</t>
  </si>
  <si>
    <t>Nombre d’étages</t>
  </si>
  <si>
    <t xml:space="preserve">Longueur du bâtiment (le long de l'axe X) : </t>
  </si>
  <si>
    <t xml:space="preserve">Nombre d’étages, N: </t>
  </si>
  <si>
    <t>Le maximum est de trois niveaux.</t>
  </si>
  <si>
    <t xml:space="preserve">Largeur du bâtiment (le long de l'axe Y) : </t>
  </si>
  <si>
    <t xml:space="preserve">Étage évalué : </t>
  </si>
  <si>
    <t>Hauteur du mur H (m)</t>
  </si>
  <si>
    <t xml:space="preserve">Système de toiture : </t>
  </si>
  <si>
    <t>Lourde</t>
  </si>
  <si>
    <t>Zone sismique :</t>
  </si>
  <si>
    <t>B</t>
  </si>
  <si>
    <t xml:space="preserve">Dimensions du plancher: </t>
  </si>
  <si>
    <t>Axe-X</t>
  </si>
  <si>
    <t xml:space="preserve">Facteur de direction maximal : </t>
  </si>
  <si>
    <t>Rapport d'aspect (longueur/largeur)</t>
  </si>
  <si>
    <t xml:space="preserve">Classe du site: </t>
  </si>
  <si>
    <t>D</t>
  </si>
  <si>
    <t>La limite maximale est de 4</t>
  </si>
  <si>
    <t>Axe-Y</t>
  </si>
  <si>
    <t>Ss (g)</t>
  </si>
  <si>
    <t>Surface (Ab)</t>
  </si>
  <si>
    <t>Fa</t>
  </si>
  <si>
    <t>Sds (g)</t>
  </si>
  <si>
    <t>1 er Niveau</t>
  </si>
  <si>
    <t>Grille</t>
  </si>
  <si>
    <t>Mur #</t>
  </si>
  <si>
    <t>Mur</t>
  </si>
  <si>
    <t>Convertir en mur équivalent standard</t>
  </si>
  <si>
    <t>Superficie</t>
  </si>
  <si>
    <t>Surface</t>
  </si>
  <si>
    <t>Additionnez chaque grille et vérifiez le WAP pour la superficie tributaire.</t>
  </si>
  <si>
    <t>Longueur</t>
  </si>
  <si>
    <t>Epaisseur</t>
  </si>
  <si>
    <t xml:space="preserve">f'm </t>
  </si>
  <si>
    <t>Rn</t>
  </si>
  <si>
    <t xml:space="preserve">Surface </t>
  </si>
  <si>
    <t>Cn facteur</t>
  </si>
  <si>
    <t>Cb facteur</t>
  </si>
  <si>
    <t xml:space="preserve"> totale </t>
  </si>
  <si>
    <t xml:space="preserve"> ajustée</t>
  </si>
  <si>
    <t>Interieur ou</t>
  </si>
  <si>
    <t xml:space="preserve">Surface du mur </t>
  </si>
  <si>
    <t>WAPi</t>
  </si>
  <si>
    <t xml:space="preserve">WAPreqd </t>
  </si>
  <si>
    <t>Fourchette acceptable pour les murs considérés</t>
  </si>
  <si>
    <t>Considérée</t>
  </si>
  <si>
    <t>(m)</t>
  </si>
  <si>
    <t>(MPa)</t>
  </si>
  <si>
    <t>Facteur</t>
  </si>
  <si>
    <t xml:space="preserve">standard </t>
  </si>
  <si>
    <t>Superficie nette</t>
  </si>
  <si>
    <t>Bloc f'm</t>
  </si>
  <si>
    <t>du mur</t>
  </si>
  <si>
    <t>Exterieur</t>
  </si>
  <si>
    <t>sur la grille</t>
  </si>
  <si>
    <t xml:space="preserve">tributaire </t>
  </si>
  <si>
    <t>(%)</t>
  </si>
  <si>
    <t xml:space="preserve">/WAPi </t>
  </si>
  <si>
    <t>Min.</t>
  </si>
  <si>
    <t>Max.</t>
  </si>
  <si>
    <t>Grille D/C</t>
  </si>
  <si>
    <t>Dans la plage</t>
  </si>
  <si>
    <t>du mur (m²)</t>
  </si>
  <si>
    <t>(Rn x t)/
(Rn_rw x 0.15)</t>
  </si>
  <si>
    <t>Augmentation Cn x Cb</t>
  </si>
  <si>
    <t>Awi (m2)</t>
  </si>
  <si>
    <t>Wall</t>
  </si>
  <si>
    <t>Awg (m2)</t>
  </si>
  <si>
    <t>de L'étage          Ati (m2)</t>
  </si>
  <si>
    <t>Ratio</t>
  </si>
  <si>
    <t>Interieur</t>
  </si>
  <si>
    <t>SUM, sauf indication contraire</t>
  </si>
  <si>
    <t xml:space="preserve">ΣAwi = </t>
  </si>
  <si>
    <t>Tout</t>
  </si>
  <si>
    <t>Pas de limite</t>
  </si>
  <si>
    <t xml:space="preserve">WAP fourni (ΣAwi/Ab) = </t>
  </si>
  <si>
    <t>Comparer par valeur de grille</t>
  </si>
  <si>
    <t>check match</t>
  </si>
  <si>
    <t xml:space="preserve">WAP requis = </t>
  </si>
  <si>
    <t>De dessous, et D/C =</t>
  </si>
  <si>
    <t>WAP requis for this BUILDING LEVEL in Y-AXIS DIRECTION</t>
  </si>
  <si>
    <t xml:space="preserve">Entrées </t>
  </si>
  <si>
    <t xml:space="preserve"> Acceleration seismique, Sds = </t>
  </si>
  <si>
    <t>g, depuis le haut</t>
  </si>
  <si>
    <t xml:space="preserve">Facteur de poids, Cw =  </t>
  </si>
  <si>
    <t>Ajustement du poids du bâtiment par rapport à N x w x Ab</t>
  </si>
  <si>
    <t xml:space="preserve">Facteur de niveau, CL =  </t>
  </si>
  <si>
    <t>En fonction de l'étage évaluée et du type de toit</t>
  </si>
  <si>
    <t xml:space="preserve">Facteur de bande, Cband =  </t>
  </si>
  <si>
    <t>Augmentation de la résistance des murs grâce à la bande sismique (mur standard équivalent)</t>
  </si>
  <si>
    <t xml:space="preserve">Ca Factor, Axial Load = </t>
  </si>
  <si>
    <t>Augmentation moyenne de la résistance des murs due à la charge axiale</t>
  </si>
  <si>
    <t xml:space="preserve">Section pleine du bloc/ Section nominale, Rn_rw = </t>
  </si>
  <si>
    <t>Valeur standard pour mur de référence</t>
  </si>
  <si>
    <t xml:space="preserve">Poids de référence, w =  </t>
  </si>
  <si>
    <t>kPa</t>
  </si>
  <si>
    <t>psf</t>
  </si>
  <si>
    <t xml:space="preserve">Référence, f'm = </t>
  </si>
  <si>
    <t>MPa</t>
  </si>
  <si>
    <t>psi</t>
  </si>
  <si>
    <t>VM de référence provenant du TMS 402</t>
  </si>
  <si>
    <t xml:space="preserve">Référence , vm = </t>
  </si>
  <si>
    <t>vm = 2.25 * racine carrée de f'm (en unités américaines)</t>
  </si>
  <si>
    <t xml:space="preserve">Facteur de réduction de la résistance au cisaillement, phi = </t>
  </si>
  <si>
    <t>vm = 0.1868 * racine carrée de f'm (en métrique)</t>
  </si>
  <si>
    <t xml:space="preserve">Résistance au cisaillement de base, phi x vm =  </t>
  </si>
  <si>
    <t xml:space="preserve"> Facteur de torsion, Ct =  </t>
  </si>
  <si>
    <t>Augmentation de la contrainte moyenne du mur à la paroi la plus sollicitée</t>
  </si>
  <si>
    <t xml:space="preserve">Facteur de réduction sismique, R = </t>
  </si>
  <si>
    <t>CALCS</t>
  </si>
  <si>
    <t xml:space="preserve">Poids sismique total, W = </t>
  </si>
  <si>
    <t>kN</t>
  </si>
  <si>
    <t>= w*N*Cw*Ab</t>
  </si>
  <si>
    <t xml:space="preserve">Cisaillement au niveau de l'étage, V = </t>
  </si>
  <si>
    <t>= W * Sds * CL / R  appliqué dans le sens positif de l'axe Y</t>
  </si>
  <si>
    <t xml:space="preserve">Limite maximale de contrainte des murs = </t>
  </si>
  <si>
    <t xml:space="preserve">= phi * vm * Cband * Ca / Ct.  </t>
  </si>
  <si>
    <t xml:space="preserve">Surface nette requise d'un mur standard = </t>
  </si>
  <si>
    <t>= V / (phi * vm * Cband * Ca / Ct)</t>
  </si>
  <si>
    <t xml:space="preserve">Surface nominale requise d'un mur standard = </t>
  </si>
  <si>
    <t>= V / [(phi * vm * Cband * Ca / Ct) * Rn_rw]</t>
  </si>
  <si>
    <t xml:space="preserve">En divisant par l'empreinte du bâtiment, WAPrequis = </t>
  </si>
  <si>
    <t>= V / [(phi * vm * Cband * Ca / Ct) * Rn_rw * Ab]</t>
  </si>
  <si>
    <t xml:space="preserve">Substitution et réorganisation, WAP requis = </t>
  </si>
  <si>
    <t>Verifier</t>
  </si>
  <si>
    <t>= (w * N * Cw * Sds * CL * Ct ) / (R * phi * vm * Cband *Ca * Rn_rw)</t>
  </si>
  <si>
    <t>WAP min. pour type de toit et zone =</t>
  </si>
  <si>
    <t>Le plus grand entre 0,75 % x Sds et 1,0 %. Augmente si la bande C est inférieure pour une raison quelconque (normalement non autorisé).</t>
  </si>
  <si>
    <t>Pourcentage de surface murale requis, WAP requis =</t>
  </si>
  <si>
    <t>La plus grande des valeurs calculées et minimales</t>
  </si>
  <si>
    <t>Vérification WAP pour l’étage dans une direction.</t>
  </si>
  <si>
    <t>Requis/Fourni (D/C) =</t>
  </si>
  <si>
    <t>Rapport Demande / Capacité (D/C) pour l’ensemble de l’étage dans une direction. Ne s’applique qu’aux niveaux situés sous une dalle lourde.</t>
  </si>
  <si>
    <t xml:space="preserve">Vérification WAP maximale par ligne de la grille
</t>
  </si>
  <si>
    <t>Valeur maximale du rapport Demande/Capacité (D/C) pour toutes les lignes de la grille.</t>
  </si>
  <si>
    <t>Vérifications WAP tributaires par ligne de la grille</t>
  </si>
  <si>
    <t>Voir les valeurs tabulées ci‑dessus</t>
  </si>
  <si>
    <t>Niveau intermédiaire</t>
  </si>
  <si>
    <t xml:space="preserve">Number of Stories, N: </t>
  </si>
  <si>
    <t>X-axis</t>
  </si>
  <si>
    <t xml:space="preserve">Yaxis </t>
  </si>
  <si>
    <r>
      <rPr>
        <rFont val="Calibri"/>
        <color rgb="FF000000"/>
        <sz val="12.0"/>
      </rPr>
      <t>Area (A</t>
    </r>
    <r>
      <rPr>
        <rFont val="Calibri"/>
        <color rgb="FF000000"/>
        <sz val="12.0"/>
        <vertAlign val="subscript"/>
      </rPr>
      <t>b</t>
    </r>
    <r>
      <rPr>
        <rFont val="Calibri"/>
        <color rgb="FF000000"/>
        <sz val="12.0"/>
      </rPr>
      <t>)</t>
    </r>
  </si>
  <si>
    <t>No Limit</t>
  </si>
  <si>
    <t>Baseline vm from TMS 402</t>
  </si>
  <si>
    <t>vm = 2.25 * sqrt(f'm) (in US units)</t>
  </si>
  <si>
    <t>= W * Sds * CL / R  applied in positive Y-direction</t>
  </si>
  <si>
    <t>Niveau supérieur</t>
  </si>
  <si>
    <r>
      <rPr>
        <rFont val="Calibri"/>
        <color rgb="FF000000"/>
        <sz val="12.0"/>
      </rPr>
      <t>Area (A</t>
    </r>
    <r>
      <rPr>
        <rFont val="Calibri"/>
        <color rgb="FF000000"/>
        <sz val="12.0"/>
        <vertAlign val="subscript"/>
      </rPr>
      <t>b</t>
    </r>
    <r>
      <rPr>
        <rFont val="Calibri"/>
        <color rgb="FF000000"/>
        <sz val="12.0"/>
      </rPr>
      <t>)</t>
    </r>
  </si>
  <si>
    <t>Maximum est trois niveaux</t>
  </si>
  <si>
    <t>Rapport d'aspect (largeur/longueur)</t>
  </si>
  <si>
    <r>
      <rPr>
        <rFont val="Calibri"/>
        <color rgb="FF000000"/>
        <sz val="12.0"/>
      </rPr>
      <t>Area (A</t>
    </r>
    <r>
      <rPr>
        <rFont val="Calibri"/>
        <color rgb="FF000000"/>
        <sz val="12.0"/>
        <vertAlign val="subscript"/>
      </rPr>
      <t>b</t>
    </r>
    <r>
      <rPr>
        <rFont val="Calibri"/>
        <color rgb="FF000000"/>
        <sz val="12.0"/>
      </rPr>
      <t>)</t>
    </r>
  </si>
  <si>
    <t>A</t>
  </si>
  <si>
    <t>A1</t>
  </si>
  <si>
    <t>A2</t>
  </si>
  <si>
    <t>A3</t>
  </si>
  <si>
    <t>A4</t>
  </si>
  <si>
    <t>A5</t>
  </si>
  <si>
    <t>B1</t>
  </si>
  <si>
    <t>B2</t>
  </si>
  <si>
    <t>B3</t>
  </si>
  <si>
    <t>B4</t>
  </si>
  <si>
    <t>B5</t>
  </si>
  <si>
    <t>All</t>
  </si>
  <si>
    <t>Compare per grid value</t>
  </si>
  <si>
    <t>From below, and D/C =</t>
  </si>
  <si>
    <t>WAPrequired for this BUILDING LEVEL in Y-AXIS DIRECTION</t>
  </si>
  <si>
    <t>Entrées</t>
  </si>
  <si>
    <t>Maximum is three levels</t>
  </si>
  <si>
    <r>
      <rPr>
        <rFont val="Calibri"/>
        <color rgb="FF000000"/>
        <sz val="12.0"/>
      </rPr>
      <t>Area (A</t>
    </r>
    <r>
      <rPr>
        <rFont val="Calibri"/>
        <color rgb="FF000000"/>
        <sz val="12.0"/>
        <vertAlign val="subscript"/>
      </rPr>
      <t>b</t>
    </r>
    <r>
      <rPr>
        <rFont val="Calibri"/>
        <color rgb="FF000000"/>
        <sz val="12.0"/>
      </rPr>
      <t>)</t>
    </r>
  </si>
  <si>
    <r>
      <rPr>
        <rFont val="Calibri"/>
        <color rgb="FF000000"/>
        <sz val="12.0"/>
      </rPr>
      <t>Area (A</t>
    </r>
    <r>
      <rPr>
        <rFont val="Calibri"/>
        <color rgb="FF000000"/>
        <sz val="12.0"/>
        <vertAlign val="subscript"/>
      </rPr>
      <t>b</t>
    </r>
    <r>
      <rPr>
        <rFont val="Calibri"/>
        <color rgb="FF000000"/>
        <sz val="12.0"/>
      </rPr>
      <t>)</t>
    </r>
  </si>
  <si>
    <t>En utilisant la face extérieure du périmètre. Exclut les débords de toiture</t>
  </si>
  <si>
    <t>Longueur (L) (Axe - X) :</t>
  </si>
  <si>
    <t>Dimension globale selon l'axe X</t>
  </si>
  <si>
    <t xml:space="preserve">Largeur (W) (Axe -Y) : </t>
  </si>
  <si>
    <t>Dimension globale selon l'axe Y</t>
  </si>
  <si>
    <t>Half weight on walls in each direction</t>
  </si>
  <si>
    <t>Conservative reduction, could be 0.8 or 0.9</t>
  </si>
  <si>
    <t>TMS friction coefficient</t>
  </si>
  <si>
    <t>Centre des aires tributaires</t>
  </si>
  <si>
    <t>Centre des murs</t>
  </si>
  <si>
    <t>Hauteur</t>
  </si>
  <si>
    <t>Fissuré Module</t>
  </si>
  <si>
    <t xml:space="preserve">Module de </t>
  </si>
  <si>
    <t xml:space="preserve">Longueur </t>
  </si>
  <si>
    <t>Rapport</t>
  </si>
  <si>
    <t>Aire efficace</t>
  </si>
  <si>
    <t>Largeur efficace</t>
  </si>
  <si>
    <t xml:space="preserve"> Moment </t>
  </si>
  <si>
    <t xml:space="preserve">Rigidité </t>
  </si>
  <si>
    <t xml:space="preserve">Rigidité en cisaillement </t>
  </si>
  <si>
    <t>Rigidité en</t>
  </si>
  <si>
    <t>Ri =</t>
  </si>
  <si>
    <t>J calc</t>
  </si>
  <si>
    <t>Trib Area</t>
  </si>
  <si>
    <t>Assign</t>
  </si>
  <si>
    <t>Weight</t>
  </si>
  <si>
    <t>Wall Strength</t>
  </si>
  <si>
    <t>COM</t>
  </si>
  <si>
    <t xml:space="preserve">Xati * </t>
  </si>
  <si>
    <t>"COR"</t>
  </si>
  <si>
    <t>t</t>
  </si>
  <si>
    <t>de mur</t>
  </si>
  <si>
    <t xml:space="preserve"> d'élasticité </t>
  </si>
  <si>
    <t xml:space="preserve">cisaillement </t>
  </si>
  <si>
    <t>Info</t>
  </si>
  <si>
    <t>pour rigidité</t>
  </si>
  <si>
    <t xml:space="preserve"> pour I</t>
  </si>
  <si>
    <t>d'inertie, I</t>
  </si>
  <si>
    <t>flexionnelle</t>
  </si>
  <si>
    <t>aire nette</t>
  </si>
  <si>
    <t>cisaillement</t>
  </si>
  <si>
    <t>totale,</t>
  </si>
  <si>
    <t>Ki x xi</t>
  </si>
  <si>
    <t>xi - COR X</t>
  </si>
  <si>
    <t>Ki * Ri^2</t>
  </si>
  <si>
    <t>on Grid</t>
  </si>
  <si>
    <t>to Walls</t>
  </si>
  <si>
    <t>on Wall</t>
  </si>
  <si>
    <t>Contribution</t>
  </si>
  <si>
    <t>Xati</t>
  </si>
  <si>
    <t>Ati</t>
  </si>
  <si>
    <t>Xi</t>
  </si>
  <si>
    <t>H (m)</t>
  </si>
  <si>
    <t xml:space="preserve">(MPa) </t>
  </si>
  <si>
    <t>considérée</t>
  </si>
  <si>
    <t xml:space="preserve"> seulement</t>
  </si>
  <si>
    <t>w/Cn w/o Cb Ca</t>
  </si>
  <si>
    <t>m^4</t>
  </si>
  <si>
    <r>
      <rPr>
        <rFont val="Calibri"/>
        <b/>
        <color theme="1"/>
        <sz val="12.0"/>
      </rPr>
      <t>kN/m</t>
    </r>
    <r>
      <rPr>
        <rFont val="Calibri"/>
        <color theme="1"/>
        <sz val="12.0"/>
      </rPr>
      <t xml:space="preserve">, </t>
    </r>
    <r>
      <rPr>
        <rFont val="Calibri"/>
        <b/>
        <color theme="1"/>
        <sz val="12.0"/>
      </rPr>
      <t>Fs</t>
    </r>
  </si>
  <si>
    <r>
      <rPr>
        <rFont val="Calibri"/>
        <b/>
        <color theme="1"/>
        <sz val="12.0"/>
      </rPr>
      <t>kN/m,</t>
    </r>
    <r>
      <rPr>
        <rFont val="Calibri"/>
        <color theme="1"/>
        <sz val="12.0"/>
      </rPr>
      <t xml:space="preserve"> </t>
    </r>
    <r>
      <rPr>
        <rFont val="Calibri"/>
        <b/>
        <color theme="1"/>
        <sz val="12.0"/>
      </rPr>
      <t>Ss</t>
    </r>
  </si>
  <si>
    <t>(kN/m)</t>
  </si>
  <si>
    <t>(kN)</t>
  </si>
  <si>
    <t>% total</t>
  </si>
  <si>
    <t>from Axial</t>
  </si>
  <si>
    <t>0.5 x E</t>
  </si>
  <si>
    <t>0.4 x E</t>
  </si>
  <si>
    <t>h/L</t>
  </si>
  <si>
    <r>
      <rPr>
        <rFont val="Calibri"/>
        <color theme="1"/>
        <sz val="12.0"/>
      </rPr>
      <t>EA = L x t x R</t>
    </r>
    <r>
      <rPr>
        <rFont val="Calibri"/>
        <color theme="1"/>
        <sz val="8.0"/>
      </rPr>
      <t>n</t>
    </r>
  </si>
  <si>
    <t>Ew= EA/ L</t>
  </si>
  <si>
    <t>Ew x  L^3/12</t>
  </si>
  <si>
    <t>3EI/h^3</t>
  </si>
  <si>
    <t>A= 5/6 x (EA)</t>
  </si>
  <si>
    <t>G x A /H</t>
  </si>
  <si>
    <t>Ki= FS + SS</t>
  </si>
  <si>
    <t>Ki x Ri^2</t>
  </si>
  <si>
    <t>kNm, this dir</t>
  </si>
  <si>
    <t>Xcom = sum( Xati x Ati)/ sum Ati</t>
  </si>
  <si>
    <t xml:space="preserve">Opposite direction FYI = </t>
  </si>
  <si>
    <t>kNm, opp. dir</t>
  </si>
  <si>
    <t>Match</t>
  </si>
  <si>
    <t>total</t>
  </si>
  <si>
    <t xml:space="preserve">Weight = </t>
  </si>
  <si>
    <t>Story Shear</t>
  </si>
  <si>
    <t>Current Ca</t>
  </si>
  <si>
    <t>Centres de masse et de rigidité et excentricité</t>
  </si>
  <si>
    <t xml:space="preserve">Centre de rigidité calculé, coordonnée X </t>
  </si>
  <si>
    <t>m, info uniquement</t>
  </si>
  <si>
    <t>Translation (COM) déplacement Y :</t>
  </si>
  <si>
    <t>mm</t>
  </si>
  <si>
    <t>Cisaillement d'étage, V / sum(Ki)*1000</t>
  </si>
  <si>
    <t>Centre de masse coordonnée X :</t>
  </si>
  <si>
    <t xml:space="preserve">Distance COR-COM </t>
  </si>
  <si>
    <t>COM-COR</t>
  </si>
  <si>
    <t>Dimension en plan :</t>
  </si>
  <si>
    <t>Excentricité inhérente, e (%) :</t>
  </si>
  <si>
    <t>info uniquement</t>
  </si>
  <si>
    <t>COM-COR distance / Dimension en plan</t>
  </si>
  <si>
    <t>Distribution des efforts dans les murs et rapports D/C pour excentricité de masse Cas#1</t>
  </si>
  <si>
    <t>Distribution des efforts dans les murs et rapports D/C pour excentricité de masse Cas#2</t>
  </si>
  <si>
    <t>Le plus grand des Cas #1 et #2 gouverne pour les niveaux sous une dalle lourde</t>
  </si>
  <si>
    <t>Distribution des efforts dans les murs et rapports D/C pour toiture légère au-dessus</t>
  </si>
  <si>
    <t>Ne s'applique pas lorsqu'il y a une toiture légère au-dessus.</t>
  </si>
  <si>
    <t xml:space="preserve"> Ne s'applique pas lorsqu'il y a une dalle au-dessus</t>
  </si>
  <si>
    <t>Contrainte</t>
  </si>
  <si>
    <t>Torsionnel</t>
  </si>
  <si>
    <t>Lat.+Tors.</t>
  </si>
  <si>
    <t>Déplacement</t>
  </si>
  <si>
    <t>Tous &lt;=1?</t>
  </si>
  <si>
    <t>Fraction</t>
  </si>
  <si>
    <t>Rigidité</t>
  </si>
  <si>
    <t>Cisaillement</t>
  </si>
  <si>
    <t xml:space="preserve">Mur </t>
  </si>
  <si>
    <t>Maximum</t>
  </si>
  <si>
    <t xml:space="preserve">Wall Shear </t>
  </si>
  <si>
    <t>Seismic Band</t>
  </si>
  <si>
    <t>Steel Yield</t>
  </si>
  <si>
    <t xml:space="preserve">Masonry Shear </t>
  </si>
  <si>
    <t>Simple</t>
  </si>
  <si>
    <t>Detailed</t>
  </si>
  <si>
    <t>Compare Design Ratios</t>
  </si>
  <si>
    <t>Limite incl</t>
  </si>
  <si>
    <t>Dépl</t>
  </si>
  <si>
    <t xml:space="preserve"> relatif </t>
  </si>
  <si>
    <t>Force</t>
  </si>
  <si>
    <t>OK/NG</t>
  </si>
  <si>
    <t xml:space="preserve"> totale</t>
  </si>
  <si>
    <t>Distribution</t>
  </si>
  <si>
    <t>Effort</t>
  </si>
  <si>
    <t>contrainte</t>
  </si>
  <si>
    <t>Demand</t>
  </si>
  <si>
    <t>Capacity from</t>
  </si>
  <si>
    <t>Steel Area</t>
  </si>
  <si>
    <t>Steel Strength</t>
  </si>
  <si>
    <t>Max Spacing</t>
  </si>
  <si>
    <t>Strength</t>
  </si>
  <si>
    <t>Shear Strength</t>
  </si>
  <si>
    <t>Capacity at</t>
  </si>
  <si>
    <t>Stress 394kPa</t>
  </si>
  <si>
    <t>Compare Shear</t>
  </si>
  <si>
    <t>Band/Masonry</t>
  </si>
  <si>
    <t>Axial/Masonry</t>
  </si>
  <si>
    <t xml:space="preserve"> Cband</t>
  </si>
  <si>
    <t>Tors D</t>
  </si>
  <si>
    <t>TD</t>
  </si>
  <si>
    <t>inter-étage</t>
  </si>
  <si>
    <t>WF, kN</t>
  </si>
  <si>
    <t>WS, kPa</t>
  </si>
  <si>
    <t>D/C</t>
  </si>
  <si>
    <t xml:space="preserve">de vers </t>
  </si>
  <si>
    <t>des murs</t>
  </si>
  <si>
    <t xml:space="preserve">le long de </t>
  </si>
  <si>
    <t>Across</t>
  </si>
  <si>
    <t>Axial Load</t>
  </si>
  <si>
    <t>(above band)</t>
  </si>
  <si>
    <t>phi=0.8</t>
  </si>
  <si>
    <t>394kPa no Ca or</t>
  </si>
  <si>
    <t>w/Ca and Cband</t>
  </si>
  <si>
    <t>Cap at 394kPa</t>
  </si>
  <si>
    <t>Capacity w/ axial</t>
  </si>
  <si>
    <t>Cband-1</t>
  </si>
  <si>
    <t>Ca-1</t>
  </si>
  <si>
    <t>KPa</t>
  </si>
  <si>
    <t>%</t>
  </si>
  <si>
    <r>
      <rPr>
        <rFont val="Calibri"/>
        <b/>
        <color theme="1"/>
        <sz val="12.0"/>
      </rPr>
      <t xml:space="preserve"> grille (F</t>
    </r>
    <r>
      <rPr>
        <rFont val="Calibri"/>
        <b/>
        <color theme="1"/>
        <sz val="8.0"/>
      </rPr>
      <t>SG</t>
    </r>
    <r>
      <rPr>
        <rFont val="Calibri"/>
        <b/>
        <color theme="1"/>
        <sz val="12.0"/>
      </rPr>
      <t>)</t>
    </r>
  </si>
  <si>
    <t xml:space="preserve">sur grille </t>
  </si>
  <si>
    <t>la grille</t>
  </si>
  <si>
    <t>Both Cases</t>
  </si>
  <si>
    <t>from above</t>
  </si>
  <si>
    <t>Band at 1.25m</t>
  </si>
  <si>
    <t>gamma_g=1</t>
  </si>
  <si>
    <t>Cband</t>
  </si>
  <si>
    <t>and band added</t>
  </si>
  <si>
    <t>vs. 0.33</t>
  </si>
  <si>
    <t>vs. 0.14</t>
  </si>
  <si>
    <t>phi x vm x cband  x Ca</t>
  </si>
  <si>
    <r>
      <rPr>
        <rFont val="Calibri, sans-serif"/>
        <color rgb="FF000000"/>
        <sz val="12.0"/>
      </rPr>
      <t>R</t>
    </r>
    <r>
      <rPr>
        <rFont val="Calibri, sans-serif"/>
        <color rgb="FF000000"/>
        <sz val="8.0"/>
      </rPr>
      <t>i</t>
    </r>
    <r>
      <rPr>
        <rFont val="Calibri, sans-serif"/>
        <color rgb="FF000000"/>
        <sz val="12.0"/>
      </rPr>
      <t xml:space="preserve"> x theta</t>
    </r>
  </si>
  <si>
    <t>Tors D + COM</t>
  </si>
  <si>
    <t>TD/ H /1000</t>
  </si>
  <si>
    <t>Ki x TD / 1000 x 1</t>
  </si>
  <si>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</si>
  <si>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t>WS/ SL</t>
  </si>
  <si>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</si>
  <si>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</si>
  <si>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A</t>
    </r>
    <r>
      <rPr>
        <rFont val="Calibri, sans-serif"/>
        <color rgb="FF000000"/>
        <sz val="8.0"/>
      </rPr>
      <t xml:space="preserve">ti </t>
    </r>
    <r>
      <rPr>
        <rFont val="Calibri, sans-serif"/>
        <color rgb="FF000000"/>
        <sz val="12.0"/>
      </rPr>
      <t>/ ∑ A</t>
    </r>
    <r>
      <rPr>
        <rFont val="Calibri, sans-serif"/>
        <color rgb="FF000000"/>
        <sz val="8.0"/>
      </rPr>
      <t>ti</t>
    </r>
  </si>
  <si>
    <r>
      <rPr>
        <rFont val="Calibri"/>
        <color theme="1"/>
        <sz val="12.0"/>
      </rPr>
      <t>kN                    T</t>
    </r>
    <r>
      <rPr>
        <rFont val="Calibri"/>
        <color theme="1"/>
        <sz val="8.0"/>
      </rPr>
      <t>WSG</t>
    </r>
  </si>
  <si>
    <r>
      <rPr>
        <rFont val="Calibri, sans-serif"/>
        <color rgb="FF000000"/>
        <sz val="12.0"/>
      </rPr>
      <t>K</t>
    </r>
    <r>
      <rPr>
        <rFont val="Calibri, sans-serif"/>
        <color rgb="FF000000"/>
        <sz val="8.0"/>
      </rPr>
      <t>i</t>
    </r>
    <r>
      <rPr>
        <rFont val="Calibri, sans-serif"/>
        <color rgb="FF000000"/>
        <sz val="12.0"/>
      </rPr>
      <t>/ T</t>
    </r>
    <r>
      <rPr>
        <rFont val="Calibri, sans-serif"/>
        <color rgb="FF000000"/>
        <sz val="8.0"/>
      </rPr>
      <t>WSG</t>
    </r>
  </si>
  <si>
    <r>
      <rPr>
        <rFont val="Calibri, sans-serif"/>
        <color rgb="FF000000"/>
        <sz val="12.0"/>
      </rPr>
      <t>F</t>
    </r>
    <r>
      <rPr>
        <rFont val="Calibri, sans-serif"/>
        <color rgb="FF000000"/>
        <sz val="8.0"/>
      </rPr>
      <t>SG</t>
    </r>
    <r>
      <rPr>
        <rFont val="Calibri, sans-serif"/>
        <color rgb="FF000000"/>
        <sz val="12.0"/>
      </rPr>
      <t xml:space="preserve"> x V x S</t>
    </r>
    <r>
      <rPr>
        <rFont val="Calibri, sans-serif"/>
        <color rgb="FF000000"/>
        <sz val="8.0"/>
      </rPr>
      <t>DG</t>
    </r>
    <r>
      <rPr>
        <rFont val="Calibri, sans-serif"/>
        <color rgb="FF000000"/>
        <sz val="12.0"/>
      </rPr>
      <t xml:space="preserve"> x 1</t>
    </r>
  </si>
  <si>
    <r>
      <rPr>
        <rFont val="Calibri, sans-serif"/>
        <color rgb="FF000000"/>
        <sz val="12.0"/>
      </rPr>
      <t>W</t>
    </r>
    <r>
      <rPr>
        <rFont val="Calibri, sans-serif"/>
        <color rgb="FF000000"/>
        <sz val="8.0"/>
      </rPr>
      <t xml:space="preserve">F3 </t>
    </r>
    <r>
      <rPr>
        <rFont val="Calibri, sans-serif"/>
        <color rgb="FF000000"/>
        <sz val="12.0"/>
      </rPr>
      <t>/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</si>
  <si>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W</t>
    </r>
    <r>
      <rPr>
        <rFont val="Calibri, sans-serif"/>
        <color rgb="FF000000"/>
        <sz val="8.0"/>
      </rPr>
      <t>F3</t>
    </r>
    <r>
      <rPr>
        <rFont val="Calibri, sans-serif"/>
        <color rgb="FF000000"/>
        <sz val="12.0"/>
      </rPr>
      <t>/ SL</t>
    </r>
  </si>
  <si>
    <t>mm2</t>
  </si>
  <si>
    <t>2x1/2"dia</t>
  </si>
  <si>
    <t>avg.</t>
  </si>
  <si>
    <t>max</t>
  </si>
  <si>
    <t>Check</t>
  </si>
  <si>
    <t>Sum wall force/ΣAwi /Rn_rw</t>
  </si>
  <si>
    <t>Rapport Max/Moy. Régularité ASCE7-16</t>
  </si>
  <si>
    <t>ASCE 7-16 Section 12.8.4.3 Ax facteur, max 3</t>
  </si>
  <si>
    <t>Augmentation de 5% de l'excentricité accidentelle par Ax, sans itération</t>
  </si>
  <si>
    <t>(Vérifier w/Ax amp fact=1)</t>
  </si>
  <si>
    <t>Excentricité de masse accidentelle, e (%) :</t>
  </si>
  <si>
    <t xml:space="preserve">Valeur initiale (%). 5 % </t>
  </si>
  <si>
    <t>Accidental Mass Eccentricity, e(%):</t>
  </si>
  <si>
    <t>Facteur d'amplification, Ax</t>
  </si>
  <si>
    <t>ASCE 7-16 Section 12.8.4.3 Ax facteur</t>
  </si>
  <si>
    <t xml:space="preserve">Ax Amplification Factor: </t>
  </si>
  <si>
    <t>Amplifié par Ax</t>
  </si>
  <si>
    <t>Accidental Mass Eccentricity, e (%):</t>
  </si>
  <si>
    <t xml:space="preserve">Facteur d'ajustement du moment de torsion Ctm : </t>
  </si>
  <si>
    <t>Réduit le moment pour tenir compte de la légèreté du toit</t>
  </si>
  <si>
    <t>#1 Excentricité accidentelle : décalage COM positif dans la direction X</t>
  </si>
  <si>
    <t>#2 Excentricité accidentelle : décalage COM négatif dans la direction X</t>
  </si>
  <si>
    <t>e (%)</t>
  </si>
  <si>
    <t>of plan</t>
  </si>
  <si>
    <t xml:space="preserve"> e (%)</t>
  </si>
  <si>
    <t>Eccentricité Positive :</t>
  </si>
  <si>
    <t>e(%) x L</t>
  </si>
  <si>
    <t>Eccentricité Négative :</t>
  </si>
  <si>
    <t>Coordonnée X du centre de masse ajusté :</t>
  </si>
  <si>
    <t>m (+ecc + COM_X)</t>
  </si>
  <si>
    <t>m (-ecc + COM_X)</t>
  </si>
  <si>
    <t>COM#1-COR</t>
  </si>
  <si>
    <t>du plan, à titre indicatif uniquement</t>
  </si>
  <si>
    <t>Effort Tranchant, V</t>
  </si>
  <si>
    <t>Moment Ajusté</t>
  </si>
  <si>
    <t>kNm</t>
  </si>
  <si>
    <t>Ctm x V x COM#1-COR</t>
  </si>
  <si>
    <t>theta</t>
  </si>
  <si>
    <t>rads</t>
  </si>
  <si>
    <t>Moment Ajusté/ Total J calc</t>
  </si>
  <si>
    <t>CW +ve CCW -ve. La règle de la main droite.</t>
  </si>
  <si>
    <t>degrés</t>
  </si>
  <si>
    <t>Vérifiez que les déplacements de torsion indiqués</t>
  </si>
  <si>
    <t>degrees</t>
  </si>
  <si>
    <t xml:space="preserve"> dans le tableau ci-dessus sont corrects.</t>
  </si>
  <si>
    <t>Wall Capacity</t>
  </si>
  <si>
    <t>below</t>
  </si>
  <si>
    <r>
      <rPr>
        <rFont val="Calibri"/>
        <b/>
        <color theme="1"/>
        <sz val="12.0"/>
      </rPr>
      <t>kN/m</t>
    </r>
    <r>
      <rPr>
        <rFont val="Calibri"/>
        <color theme="1"/>
        <sz val="12.0"/>
      </rPr>
      <t xml:space="preserve">, </t>
    </r>
    <r>
      <rPr>
        <rFont val="Calibri"/>
        <b/>
        <color theme="1"/>
        <sz val="12.0"/>
      </rPr>
      <t>Fs</t>
    </r>
  </si>
  <si>
    <r>
      <rPr>
        <rFont val="Calibri"/>
        <b/>
        <color theme="1"/>
        <sz val="12.0"/>
      </rPr>
      <t>kN/m,</t>
    </r>
    <r>
      <rPr>
        <rFont val="Calibri"/>
        <color theme="1"/>
        <sz val="12.0"/>
      </rPr>
      <t xml:space="preserve"> </t>
    </r>
    <r>
      <rPr>
        <rFont val="Calibri"/>
        <b/>
        <color theme="1"/>
        <sz val="12.0"/>
      </rPr>
      <t>Ss</t>
    </r>
  </si>
  <si>
    <r>
      <rPr>
        <rFont val="Calibri"/>
        <color theme="1"/>
        <sz val="12.0"/>
      </rPr>
      <t>EA = L x t x R</t>
    </r>
    <r>
      <rPr>
        <rFont val="Calibri"/>
        <color theme="1"/>
        <sz val="8.0"/>
      </rPr>
      <t>n</t>
    </r>
  </si>
  <si>
    <t>Weight Above =</t>
  </si>
  <si>
    <t>Sesimic Weights =1, 0.82 and 0.36</t>
  </si>
  <si>
    <t>Centre de rigidité calculé, coordonnée X:</t>
  </si>
  <si>
    <t>sum (Ki x xi) /Ki</t>
  </si>
  <si>
    <r>
      <rPr>
        <rFont val="Calibri"/>
        <b/>
        <color theme="1"/>
        <sz val="12.0"/>
      </rPr>
      <t xml:space="preserve"> grille (F</t>
    </r>
    <r>
      <rPr>
        <rFont val="Calibri"/>
        <b/>
        <color theme="1"/>
        <sz val="8.0"/>
      </rPr>
      <t>SG</t>
    </r>
    <r>
      <rPr>
        <rFont val="Calibri"/>
        <b/>
        <color theme="1"/>
        <sz val="12.0"/>
      </rPr>
      <t>)</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</si>
  <si>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</si>
  <si>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</si>
  <si>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</si>
  <si>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</si>
  <si>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A</t>
    </r>
    <r>
      <rPr>
        <rFont val="Calibri, sans-serif"/>
        <color rgb="FF000000"/>
        <sz val="8.0"/>
      </rPr>
      <t xml:space="preserve">ti </t>
    </r>
    <r>
      <rPr>
        <rFont val="Calibri, sans-serif"/>
        <color rgb="FF000000"/>
        <sz val="12.0"/>
      </rPr>
      <t>/ ∑ A</t>
    </r>
    <r>
      <rPr>
        <rFont val="Calibri, sans-serif"/>
        <color rgb="FF000000"/>
        <sz val="8.0"/>
      </rPr>
      <t>ti</t>
    </r>
  </si>
  <si>
    <r>
      <rPr>
        <rFont val="Calibri"/>
        <color theme="1"/>
        <sz val="12.0"/>
      </rPr>
      <t>kN                    T</t>
    </r>
    <r>
      <rPr>
        <rFont val="Calibri"/>
        <color theme="1"/>
        <sz val="8.0"/>
      </rPr>
      <t>WSG</t>
    </r>
  </si>
  <si>
    <r>
      <rPr>
        <rFont val="Calibri, sans-serif"/>
        <color rgb="FF000000"/>
        <sz val="12.0"/>
      </rPr>
      <t>K</t>
    </r>
    <r>
      <rPr>
        <rFont val="Calibri, sans-serif"/>
        <color rgb="FF000000"/>
        <sz val="8.0"/>
      </rPr>
      <t>i</t>
    </r>
    <r>
      <rPr>
        <rFont val="Calibri, sans-serif"/>
        <color rgb="FF000000"/>
        <sz val="12.0"/>
      </rPr>
      <t>/ T</t>
    </r>
    <r>
      <rPr>
        <rFont val="Calibri, sans-serif"/>
        <color rgb="FF000000"/>
        <sz val="8.0"/>
      </rPr>
      <t>WSG</t>
    </r>
  </si>
  <si>
    <t>FSG x V x SDG x 1</t>
  </si>
  <si>
    <r>
      <rPr>
        <rFont val="Calibri, sans-serif"/>
        <color rgb="FF000000"/>
        <sz val="12.0"/>
      </rPr>
      <t>W</t>
    </r>
    <r>
      <rPr>
        <rFont val="Calibri, sans-serif"/>
        <color rgb="FF000000"/>
        <sz val="8.0"/>
      </rPr>
      <t xml:space="preserve">F3 </t>
    </r>
    <r>
      <rPr>
        <rFont val="Calibri, sans-serif"/>
        <color rgb="FF000000"/>
        <sz val="12.0"/>
      </rPr>
      <t>/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</si>
  <si>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W</t>
    </r>
    <r>
      <rPr>
        <rFont val="Calibri, sans-serif"/>
        <color rgb="FF000000"/>
        <sz val="8.0"/>
      </rPr>
      <t>F3</t>
    </r>
    <r>
      <rPr>
        <rFont val="Calibri, sans-serif"/>
        <color rgb="FF000000"/>
        <sz val="12.0"/>
      </rPr>
      <t>/ SL</t>
    </r>
  </si>
  <si>
    <t>du plan</t>
  </si>
  <si>
    <t>distance, m</t>
  </si>
  <si>
    <t>hors plan, à titre indicatif uniquement</t>
  </si>
  <si>
    <t>Moment Ajusté / Total J calc</t>
  </si>
  <si>
    <t>Vérifiez que les déplacements de torsion indiqués dans le tableau ci-dessus sont corrects.</t>
  </si>
  <si>
    <t>Conservative reduction</t>
  </si>
  <si>
    <r>
      <rPr>
        <rFont val="Calibri"/>
        <b/>
        <color theme="1"/>
        <sz val="12.0"/>
      </rPr>
      <t>kN/m</t>
    </r>
    <r>
      <rPr>
        <rFont val="Calibri"/>
        <color theme="1"/>
        <sz val="12.0"/>
      </rPr>
      <t xml:space="preserve">, </t>
    </r>
    <r>
      <rPr>
        <rFont val="Calibri"/>
        <b/>
        <color theme="1"/>
        <sz val="12.0"/>
      </rPr>
      <t>Fs</t>
    </r>
  </si>
  <si>
    <r>
      <rPr>
        <rFont val="Calibri"/>
        <b/>
        <color theme="1"/>
        <sz val="12.0"/>
      </rPr>
      <t>kN/m,</t>
    </r>
    <r>
      <rPr>
        <rFont val="Calibri"/>
        <color theme="1"/>
        <sz val="12.0"/>
      </rPr>
      <t xml:space="preserve"> </t>
    </r>
    <r>
      <rPr>
        <rFont val="Calibri"/>
        <b/>
        <color theme="1"/>
        <sz val="12.0"/>
      </rPr>
      <t>Ss</t>
    </r>
  </si>
  <si>
    <r>
      <rPr>
        <rFont val="Calibri"/>
        <color theme="1"/>
        <sz val="12.0"/>
      </rPr>
      <t>EA = L x t x R</t>
    </r>
    <r>
      <rPr>
        <rFont val="Calibri"/>
        <color theme="1"/>
        <sz val="8.0"/>
      </rPr>
      <t>n</t>
    </r>
  </si>
  <si>
    <t>kNm, cette dir</t>
  </si>
  <si>
    <t xml:space="preserve">Direction opposée FYI = </t>
  </si>
  <si>
    <t>Centre de rigidité calculé, coordonnée X :</t>
  </si>
  <si>
    <r>
      <rPr>
        <rFont val="Calibri"/>
        <b/>
        <color theme="1"/>
        <sz val="12.0"/>
      </rPr>
      <t xml:space="preserve"> grille (F</t>
    </r>
    <r>
      <rPr>
        <rFont val="Calibri"/>
        <b/>
        <color theme="1"/>
        <sz val="8.0"/>
      </rPr>
      <t>SG</t>
    </r>
    <r>
      <rPr>
        <rFont val="Calibri"/>
        <b/>
        <color theme="1"/>
        <sz val="12.0"/>
      </rPr>
      <t>)</t>
    </r>
  </si>
  <si>
    <t>vs. 0</t>
  </si>
  <si>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</si>
  <si>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</si>
  <si>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</si>
  <si>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</si>
  <si>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A</t>
    </r>
    <r>
      <rPr>
        <rFont val="Calibri, sans-serif"/>
        <color rgb="FF000000"/>
        <sz val="8.0"/>
      </rPr>
      <t xml:space="preserve">ti </t>
    </r>
    <r>
      <rPr>
        <rFont val="Calibri, sans-serif"/>
        <color rgb="FF000000"/>
        <sz val="12.0"/>
      </rPr>
      <t>/ ∑ A</t>
    </r>
    <r>
      <rPr>
        <rFont val="Calibri, sans-serif"/>
        <color rgb="FF000000"/>
        <sz val="8.0"/>
      </rPr>
      <t>ti</t>
    </r>
  </si>
  <si>
    <r>
      <rPr>
        <rFont val="Calibri"/>
        <color theme="1"/>
        <sz val="12.0"/>
      </rPr>
      <t>kN                    T</t>
    </r>
    <r>
      <rPr>
        <rFont val="Calibri"/>
        <color theme="1"/>
        <sz val="8.0"/>
      </rPr>
      <t>WSG</t>
    </r>
  </si>
  <si>
    <r>
      <rPr>
        <rFont val="Calibri, sans-serif"/>
        <color rgb="FF000000"/>
        <sz val="12.0"/>
      </rPr>
      <t>K</t>
    </r>
    <r>
      <rPr>
        <rFont val="Calibri, sans-serif"/>
        <color rgb="FF000000"/>
        <sz val="8.0"/>
      </rPr>
      <t>i</t>
    </r>
    <r>
      <rPr>
        <rFont val="Calibri, sans-serif"/>
        <color rgb="FF000000"/>
        <sz val="12.0"/>
      </rPr>
      <t>/ T</t>
    </r>
    <r>
      <rPr>
        <rFont val="Calibri, sans-serif"/>
        <color rgb="FF000000"/>
        <sz val="8.0"/>
      </rPr>
      <t>WSG</t>
    </r>
  </si>
  <si>
    <r>
      <rPr>
        <rFont val="Calibri, sans-serif"/>
        <color rgb="FF000000"/>
        <sz val="12.0"/>
      </rPr>
      <t>W</t>
    </r>
    <r>
      <rPr>
        <rFont val="Calibri, sans-serif"/>
        <color rgb="FF000000"/>
        <sz val="8.0"/>
      </rPr>
      <t xml:space="preserve">F3 </t>
    </r>
    <r>
      <rPr>
        <rFont val="Calibri, sans-serif"/>
        <color rgb="FF000000"/>
        <sz val="12.0"/>
      </rPr>
      <t>/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</si>
  <si>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W</t>
    </r>
    <r>
      <rPr>
        <rFont val="Calibri, sans-serif"/>
        <color rgb="FF000000"/>
        <sz val="8.0"/>
      </rPr>
      <t>F3</t>
    </r>
    <r>
      <rPr>
        <rFont val="Calibri, sans-serif"/>
        <color rgb="FF000000"/>
        <sz val="12.0"/>
      </rPr>
      <t>/ SL</t>
    </r>
  </si>
  <si>
    <t>CW +ve CCW -ve. Right hand rule.</t>
  </si>
  <si>
    <r>
      <rPr>
        <rFont val="Calibri"/>
        <b/>
        <color theme="1"/>
        <sz val="12.0"/>
      </rPr>
      <t>kN/m</t>
    </r>
    <r>
      <rPr>
        <rFont val="Calibri"/>
        <color theme="1"/>
        <sz val="12.0"/>
      </rPr>
      <t xml:space="preserve">, </t>
    </r>
    <r>
      <rPr>
        <rFont val="Calibri"/>
        <b/>
        <color theme="1"/>
        <sz val="12.0"/>
      </rPr>
      <t>Fs</t>
    </r>
  </si>
  <si>
    <r>
      <rPr>
        <rFont val="Calibri"/>
        <b/>
        <color theme="1"/>
        <sz val="12.0"/>
      </rPr>
      <t>kN/m,</t>
    </r>
    <r>
      <rPr>
        <rFont val="Calibri"/>
        <color theme="1"/>
        <sz val="12.0"/>
      </rPr>
      <t xml:space="preserve"> </t>
    </r>
    <r>
      <rPr>
        <rFont val="Calibri"/>
        <b/>
        <color theme="1"/>
        <sz val="12.0"/>
      </rPr>
      <t>Ss</t>
    </r>
  </si>
  <si>
    <r>
      <rPr>
        <rFont val="Calibri"/>
        <color theme="1"/>
        <sz val="12.0"/>
      </rPr>
      <t>EA = L x t x R</t>
    </r>
    <r>
      <rPr>
        <rFont val="Calibri"/>
        <color theme="1"/>
        <sz val="8.0"/>
      </rPr>
      <t>n</t>
    </r>
  </si>
  <si>
    <r>
      <rPr>
        <rFont val="Calibri"/>
        <b/>
        <color theme="1"/>
        <sz val="12.0"/>
      </rPr>
      <t xml:space="preserve"> grille (F</t>
    </r>
    <r>
      <rPr>
        <rFont val="Calibri"/>
        <b/>
        <color theme="1"/>
        <sz val="8.0"/>
      </rPr>
      <t>SG</t>
    </r>
    <r>
      <rPr>
        <rFont val="Calibri"/>
        <b/>
        <color theme="1"/>
        <sz val="12.0"/>
      </rPr>
      <t>)</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</si>
  <si>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</si>
  <si>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</si>
  <si>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</si>
  <si>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</si>
  <si>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A</t>
    </r>
    <r>
      <rPr>
        <rFont val="Calibri, sans-serif"/>
        <color rgb="FF000000"/>
        <sz val="8.0"/>
      </rPr>
      <t xml:space="preserve">ti </t>
    </r>
    <r>
      <rPr>
        <rFont val="Calibri, sans-serif"/>
        <color rgb="FF000000"/>
        <sz val="12.0"/>
      </rPr>
      <t>/ ∑ A</t>
    </r>
    <r>
      <rPr>
        <rFont val="Calibri, sans-serif"/>
        <color rgb="FF000000"/>
        <sz val="8.0"/>
      </rPr>
      <t>ti</t>
    </r>
  </si>
  <si>
    <r>
      <rPr>
        <rFont val="Calibri"/>
        <color theme="1"/>
        <sz val="12.0"/>
      </rPr>
      <t>kN                    T</t>
    </r>
    <r>
      <rPr>
        <rFont val="Calibri"/>
        <color theme="1"/>
        <sz val="8.0"/>
      </rPr>
      <t>WSG</t>
    </r>
  </si>
  <si>
    <r>
      <rPr>
        <rFont val="Calibri, sans-serif"/>
        <color rgb="FF000000"/>
        <sz val="12.0"/>
      </rPr>
      <t>K</t>
    </r>
    <r>
      <rPr>
        <rFont val="Calibri, sans-serif"/>
        <color rgb="FF000000"/>
        <sz val="8.0"/>
      </rPr>
      <t>i</t>
    </r>
    <r>
      <rPr>
        <rFont val="Calibri, sans-serif"/>
        <color rgb="FF000000"/>
        <sz val="12.0"/>
      </rPr>
      <t>/ T</t>
    </r>
    <r>
      <rPr>
        <rFont val="Calibri, sans-serif"/>
        <color rgb="FF000000"/>
        <sz val="8.0"/>
      </rPr>
      <t>WSG</t>
    </r>
  </si>
  <si>
    <r>
      <rPr>
        <rFont val="Calibri, sans-serif"/>
        <color rgb="FF000000"/>
        <sz val="12.0"/>
      </rPr>
      <t>W</t>
    </r>
    <r>
      <rPr>
        <rFont val="Calibri, sans-serif"/>
        <color rgb="FF000000"/>
        <sz val="8.0"/>
      </rPr>
      <t xml:space="preserve">F3 </t>
    </r>
    <r>
      <rPr>
        <rFont val="Calibri, sans-serif"/>
        <color rgb="FF000000"/>
        <sz val="12.0"/>
      </rPr>
      <t>/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</si>
  <si>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W</t>
    </r>
    <r>
      <rPr>
        <rFont val="Calibri, sans-serif"/>
        <color rgb="FF000000"/>
        <sz val="8.0"/>
      </rPr>
      <t>F3</t>
    </r>
    <r>
      <rPr>
        <rFont val="Calibri, sans-serif"/>
        <color rgb="FF000000"/>
        <sz val="12.0"/>
      </rPr>
      <t>/ SL</t>
    </r>
  </si>
  <si>
    <t>dans le tableau ci-dessus sont corrects.</t>
  </si>
  <si>
    <r>
      <rPr>
        <rFont val="Calibri"/>
        <b/>
        <color theme="1"/>
        <sz val="12.0"/>
      </rPr>
      <t>kN/m</t>
    </r>
    <r>
      <rPr>
        <rFont val="Calibri"/>
        <color theme="1"/>
        <sz val="12.0"/>
      </rPr>
      <t xml:space="preserve">, </t>
    </r>
    <r>
      <rPr>
        <rFont val="Calibri"/>
        <b/>
        <color theme="1"/>
        <sz val="12.0"/>
      </rPr>
      <t>Fs</t>
    </r>
  </si>
  <si>
    <r>
      <rPr>
        <rFont val="Calibri"/>
        <b/>
        <color theme="1"/>
        <sz val="12.0"/>
      </rPr>
      <t>kN/m,</t>
    </r>
    <r>
      <rPr>
        <rFont val="Calibri"/>
        <color theme="1"/>
        <sz val="12.0"/>
      </rPr>
      <t xml:space="preserve"> </t>
    </r>
    <r>
      <rPr>
        <rFont val="Calibri"/>
        <b/>
        <color theme="1"/>
        <sz val="12.0"/>
      </rPr>
      <t>Ss</t>
    </r>
  </si>
  <si>
    <r>
      <rPr>
        <rFont val="Calibri"/>
        <color theme="1"/>
        <sz val="12.0"/>
      </rPr>
      <t>EA = L x t x R</t>
    </r>
    <r>
      <rPr>
        <rFont val="Calibri"/>
        <color theme="1"/>
        <sz val="8.0"/>
      </rPr>
      <t>n</t>
    </r>
  </si>
  <si>
    <r>
      <rPr>
        <rFont val="Calibri"/>
        <b/>
        <color theme="1"/>
        <sz val="12.0"/>
      </rPr>
      <t xml:space="preserve"> grille (F</t>
    </r>
    <r>
      <rPr>
        <rFont val="Calibri"/>
        <b/>
        <color theme="1"/>
        <sz val="8.0"/>
      </rPr>
      <t>SG</t>
    </r>
    <r>
      <rPr>
        <rFont val="Calibri"/>
        <b/>
        <color theme="1"/>
        <sz val="12.0"/>
      </rPr>
      <t>)</t>
    </r>
  </si>
  <si>
    <r>
      <rPr>
        <rFont val="Calibri, sans-serif"/>
        <color rgb="FF000000"/>
        <sz val="12.0"/>
      </rPr>
      <t>R</t>
    </r>
    <r>
      <rPr>
        <rFont val="Calibri, sans-serif"/>
        <color rgb="FF000000"/>
        <sz val="8.0"/>
      </rPr>
      <t>i</t>
    </r>
    <r>
      <rPr>
        <rFont val="Calibri, sans-serif"/>
        <color rgb="FF000000"/>
        <sz val="12.0"/>
      </rPr>
      <t xml:space="preserve"> x theta</t>
    </r>
  </si>
  <si>
    <t>Ki x TD/1000 x 1</t>
  </si>
  <si>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</si>
  <si>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</si>
  <si>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</si>
  <si>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A</t>
    </r>
    <r>
      <rPr>
        <rFont val="Calibri, sans-serif"/>
        <color rgb="FF000000"/>
        <sz val="8.0"/>
      </rPr>
      <t xml:space="preserve">ti </t>
    </r>
    <r>
      <rPr>
        <rFont val="Calibri, sans-serif"/>
        <color rgb="FF000000"/>
        <sz val="12.0"/>
      </rPr>
      <t>/ ∑ A</t>
    </r>
    <r>
      <rPr>
        <rFont val="Calibri, sans-serif"/>
        <color rgb="FF000000"/>
        <sz val="8.0"/>
      </rPr>
      <t>ti</t>
    </r>
  </si>
  <si>
    <r>
      <rPr>
        <rFont val="Calibri"/>
        <color theme="1"/>
        <sz val="12.0"/>
      </rPr>
      <t>kN                    T</t>
    </r>
    <r>
      <rPr>
        <rFont val="Calibri"/>
        <color theme="1"/>
        <sz val="8.0"/>
      </rPr>
      <t>WSG</t>
    </r>
  </si>
  <si>
    <r>
      <rPr>
        <rFont val="Calibri, sans-serif"/>
        <color rgb="FF000000"/>
        <sz val="12.0"/>
      </rPr>
      <t>K</t>
    </r>
    <r>
      <rPr>
        <rFont val="Calibri, sans-serif"/>
        <color rgb="FF000000"/>
        <sz val="8.0"/>
      </rPr>
      <t>i</t>
    </r>
    <r>
      <rPr>
        <rFont val="Calibri, sans-serif"/>
        <color rgb="FF000000"/>
        <sz val="12.0"/>
      </rPr>
      <t>/ T</t>
    </r>
    <r>
      <rPr>
        <rFont val="Calibri, sans-serif"/>
        <color rgb="FF000000"/>
        <sz val="8.0"/>
      </rPr>
      <t>WSG</t>
    </r>
  </si>
  <si>
    <r>
      <rPr>
        <rFont val="Calibri, sans-serif"/>
        <color rgb="FF000000"/>
        <sz val="12.0"/>
      </rPr>
      <t>W</t>
    </r>
    <r>
      <rPr>
        <rFont val="Calibri, sans-serif"/>
        <color rgb="FF000000"/>
        <sz val="8.0"/>
      </rPr>
      <t xml:space="preserve">F3 </t>
    </r>
    <r>
      <rPr>
        <rFont val="Calibri, sans-serif"/>
        <color rgb="FF000000"/>
        <sz val="12.0"/>
      </rPr>
      <t>/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</si>
  <si>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W</t>
    </r>
    <r>
      <rPr>
        <rFont val="Calibri, sans-serif"/>
        <color rgb="FF000000"/>
        <sz val="8.0"/>
      </rPr>
      <t>F3</t>
    </r>
    <r>
      <rPr>
        <rFont val="Calibri, sans-serif"/>
        <color rgb="FF000000"/>
        <sz val="12.0"/>
      </rPr>
      <t>/ SL</t>
    </r>
  </si>
  <si>
    <t xml:space="preserve"> Moment Adjusté / Total J calc</t>
  </si>
  <si>
    <r>
      <rPr>
        <rFont val="Calibri"/>
        <b/>
        <color theme="1"/>
        <sz val="12.0"/>
      </rPr>
      <t>kN/m</t>
    </r>
    <r>
      <rPr>
        <rFont val="Calibri"/>
        <color theme="1"/>
        <sz val="12.0"/>
      </rPr>
      <t xml:space="preserve">, </t>
    </r>
    <r>
      <rPr>
        <rFont val="Calibri"/>
        <b/>
        <color theme="1"/>
        <sz val="12.0"/>
      </rPr>
      <t>Fs</t>
    </r>
  </si>
  <si>
    <r>
      <rPr>
        <rFont val="Calibri"/>
        <b/>
        <color theme="1"/>
        <sz val="12.0"/>
      </rPr>
      <t>kN/m,</t>
    </r>
    <r>
      <rPr>
        <rFont val="Calibri"/>
        <color theme="1"/>
        <sz val="12.0"/>
      </rPr>
      <t xml:space="preserve"> </t>
    </r>
    <r>
      <rPr>
        <rFont val="Calibri"/>
        <b/>
        <color theme="1"/>
        <sz val="12.0"/>
      </rPr>
      <t>Ss</t>
    </r>
  </si>
  <si>
    <r>
      <rPr>
        <rFont val="Calibri"/>
        <color theme="1"/>
        <sz val="12.0"/>
      </rPr>
      <t>EA = L x t x R</t>
    </r>
    <r>
      <rPr>
        <rFont val="Calibri"/>
        <color theme="1"/>
        <sz val="8.0"/>
      </rPr>
      <t>n</t>
    </r>
  </si>
  <si>
    <r>
      <rPr>
        <rFont val="Calibri"/>
        <b/>
        <color theme="1"/>
        <sz val="12.0"/>
      </rPr>
      <t xml:space="preserve"> grille (F</t>
    </r>
    <r>
      <rPr>
        <rFont val="Calibri"/>
        <b/>
        <color theme="1"/>
        <sz val="8.0"/>
      </rPr>
      <t>SG</t>
    </r>
    <r>
      <rPr>
        <rFont val="Calibri"/>
        <b/>
        <color theme="1"/>
        <sz val="12.0"/>
      </rPr>
      <t>)</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</si>
  <si>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</si>
  <si>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</si>
  <si>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R</t>
    </r>
    <r>
      <rPr>
        <rFont val="Calibri, sans-serif"/>
        <color rgb="FF000000"/>
        <sz val="8.0"/>
      </rPr>
      <t>i</t>
    </r>
    <r>
      <rPr>
        <rFont val="Calibri, sans-serif"/>
        <color rgb="FF000000"/>
        <sz val="12.0"/>
      </rPr>
      <t xml:space="preserve"> x theta</t>
    </r>
  </si>
  <si>
    <r>
      <rPr>
        <rFont val="Calibri, sans-serif"/>
        <color rgb="FF000000"/>
        <sz val="12.0"/>
      </rPr>
      <t>WF/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</si>
  <si>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A</t>
    </r>
    <r>
      <rPr>
        <rFont val="Calibri, sans-serif"/>
        <color rgb="FF000000"/>
        <sz val="8.0"/>
      </rPr>
      <t xml:space="preserve">ti </t>
    </r>
    <r>
      <rPr>
        <rFont val="Calibri, sans-serif"/>
        <color rgb="FF000000"/>
        <sz val="12.0"/>
      </rPr>
      <t>/ ∑ A</t>
    </r>
    <r>
      <rPr>
        <rFont val="Calibri, sans-serif"/>
        <color rgb="FF000000"/>
        <sz val="8.0"/>
      </rPr>
      <t>ti</t>
    </r>
  </si>
  <si>
    <r>
      <rPr>
        <rFont val="Calibri"/>
        <color theme="1"/>
        <sz val="12.0"/>
      </rPr>
      <t>kN                    T</t>
    </r>
    <r>
      <rPr>
        <rFont val="Calibri"/>
        <color theme="1"/>
        <sz val="8.0"/>
      </rPr>
      <t>WSG</t>
    </r>
  </si>
  <si>
    <r>
      <rPr>
        <rFont val="Calibri, sans-serif"/>
        <color rgb="FF000000"/>
        <sz val="12.0"/>
      </rPr>
      <t>K</t>
    </r>
    <r>
      <rPr>
        <rFont val="Calibri, sans-serif"/>
        <color rgb="FF000000"/>
        <sz val="8.0"/>
      </rPr>
      <t>i</t>
    </r>
    <r>
      <rPr>
        <rFont val="Calibri, sans-serif"/>
        <color rgb="FF000000"/>
        <sz val="12.0"/>
      </rPr>
      <t>/ T</t>
    </r>
    <r>
      <rPr>
        <rFont val="Calibri, sans-serif"/>
        <color rgb="FF000000"/>
        <sz val="8.0"/>
      </rPr>
      <t>WSG</t>
    </r>
  </si>
  <si>
    <r>
      <rPr>
        <rFont val="Calibri, sans-serif"/>
        <color rgb="FF000000"/>
        <sz val="12.0"/>
      </rPr>
      <t>W</t>
    </r>
    <r>
      <rPr>
        <rFont val="Calibri, sans-serif"/>
        <color rgb="FF000000"/>
        <sz val="8.0"/>
      </rPr>
      <t xml:space="preserve">F3 </t>
    </r>
    <r>
      <rPr>
        <rFont val="Calibri, sans-serif"/>
        <color rgb="FF000000"/>
        <sz val="12.0"/>
      </rPr>
      <t>/ A</t>
    </r>
    <r>
      <rPr>
        <rFont val="Calibri, sans-serif"/>
        <color rgb="FF000000"/>
        <sz val="8.0"/>
      </rPr>
      <t>wi</t>
    </r>
    <r>
      <rPr>
        <rFont val="Calibri, sans-serif"/>
        <color rgb="FF000000"/>
        <sz val="12.0"/>
      </rPr>
      <t xml:space="preserve"> x R</t>
    </r>
    <r>
      <rPr>
        <rFont val="Calibri, sans-serif"/>
        <color rgb="FF000000"/>
        <sz val="8.0"/>
      </rPr>
      <t>n</t>
    </r>
    <r>
      <rPr>
        <rFont val="Calibri, sans-serif"/>
        <color rgb="FF000000"/>
        <sz val="12.0"/>
      </rPr>
      <t>_rw</t>
    </r>
  </si>
  <si>
    <r>
      <rPr>
        <rFont val="Calibri, sans-serif"/>
        <color rgb="FF000000"/>
        <sz val="12.0"/>
      </rPr>
      <t>W</t>
    </r>
    <r>
      <rPr>
        <rFont val="Calibri, sans-serif"/>
        <color rgb="FF000000"/>
        <sz val="8.0"/>
      </rPr>
      <t>F3</t>
    </r>
    <r>
      <rPr>
        <rFont val="Calibri, sans-serif"/>
        <color rgb="FF000000"/>
        <sz val="12.0"/>
      </rPr>
      <t>/ SL</t>
    </r>
  </si>
  <si>
    <t>Moment Adjusté / Total J calc</t>
  </si>
  <si>
    <t>Reference Values for Rn, entered manually, so have to manually check this table and enter Rn. Cn not used for lookup, is calcuated instead</t>
  </si>
  <si>
    <t>Nominal Block Width, W (cm)</t>
  </si>
  <si>
    <t>Nominal Block Length, L (cm)</t>
  </si>
  <si>
    <t>Grouted Cells</t>
  </si>
  <si>
    <t>None</t>
  </si>
  <si>
    <t>1 of 3</t>
  </si>
  <si>
    <t>Webs Mortared and Aligned</t>
  </si>
  <si>
    <t>No</t>
  </si>
  <si>
    <t>Yes</t>
  </si>
  <si>
    <t>Cell 
Layout</t>
  </si>
  <si>
    <t>Face Shell Thickness (cm)</t>
  </si>
  <si>
    <t>Net Area Ratio 
(RN = Anet/Anominal)</t>
  </si>
  <si>
    <t>2 cell (2x1)</t>
  </si>
  <si>
    <t>3 cell (3x1)</t>
  </si>
  <si>
    <t>4 cell (2x2)</t>
  </si>
  <si>
    <t>N/A</t>
  </si>
  <si>
    <t>Net Area Factor 
CN = (RN x W) / (0.438 x 15cm)</t>
  </si>
  <si>
    <t>Lookup Values</t>
  </si>
  <si>
    <t>Not used, set=1.2 always</t>
  </si>
  <si>
    <t>Fa values</t>
  </si>
  <si>
    <t>Seismic</t>
  </si>
  <si>
    <t>Ss</t>
  </si>
  <si>
    <t xml:space="preserve">Class a, B, no </t>
  </si>
  <si>
    <t>CDE</t>
  </si>
  <si>
    <t>Zone</t>
  </si>
  <si>
    <t>(g)</t>
  </si>
  <si>
    <t>C</t>
  </si>
  <si>
    <t>Tableau de référence principal - paramètres basés sur le niveau considéré et le nombre total de niveaux</t>
  </si>
  <si>
    <t>Supposition</t>
  </si>
  <si>
    <t>Supposition d'une réduction de 50 %</t>
  </si>
  <si>
    <t>Reduction</t>
  </si>
  <si>
    <t>Bâtiments avec toitures légères</t>
  </si>
  <si>
    <t>Bâtiments avec toitures lourdes Sauf  le cas suivant</t>
  </si>
  <si>
    <t>Toitures lourdes avec rapport d'aspect &gt;3 et uniquement dans le sens court</t>
  </si>
  <si>
    <t>Consultation du niveau</t>
  </si>
  <si>
    <t xml:space="preserve">Etages N </t>
  </si>
  <si>
    <t>Étage en cours d'évaluation</t>
  </si>
  <si>
    <t>Description de l'étage</t>
  </si>
  <si>
    <t>Facteur Ca Charge axiale</t>
  </si>
  <si>
    <t xml:space="preserve">Facteur CL </t>
  </si>
  <si>
    <t>Cw factors</t>
  </si>
  <si>
    <t>Facteur d'ajustement du moment de torsion Ctm</t>
  </si>
  <si>
    <t>Anciennes valeurs Ctm</t>
  </si>
  <si>
    <t>Level Label</t>
  </si>
  <si>
    <t>Toiture lourde</t>
  </si>
  <si>
    <t>Toiture légère</t>
  </si>
  <si>
    <t>Minimum</t>
  </si>
  <si>
    <t>Premier d'un étage</t>
  </si>
  <si>
    <t>Rez-de-chaussée (Niveau 1)</t>
  </si>
  <si>
    <t>Premier de deux étages</t>
  </si>
  <si>
    <t>Premier de trois étages</t>
  </si>
  <si>
    <t>Deuxième de deux étages</t>
  </si>
  <si>
    <t>Deuxième de trois étages</t>
  </si>
  <si>
    <t>Troisième de trois étages</t>
  </si>
  <si>
    <t>Niveau supérieurNiveau intermédiaireNiveau supérieur</t>
  </si>
  <si>
    <t>Currently the 150%</t>
  </si>
  <si>
    <t>Currently provisions say</t>
  </si>
  <si>
    <t>is only for heavy</t>
  </si>
  <si>
    <t>all must be 150%, quite tough</t>
  </si>
  <si>
    <t>Site</t>
  </si>
  <si>
    <t>Table 11.4-1 Fa values for Haiti</t>
  </si>
  <si>
    <t>roofs.</t>
  </si>
  <si>
    <t>Class</t>
  </si>
  <si>
    <t>Assume also 1.0 if no velocity measurement?</t>
  </si>
  <si>
    <t>Or use 1.0 if find rock in site investigation, but have done no velocity measurement.</t>
  </si>
  <si>
    <t>11.4.8 applies to all D as well since S1&gt;0.2g, just requires static analysis, so OK if use Fa as tabulated since 12.8-2 is justs V = Sds/(R/I). But if assumed D by default (usualy case), the Fa=1.2.</t>
  </si>
  <si>
    <t>E</t>
  </si>
  <si>
    <t>11.4.8 exception1 governs all Haiti, so use Fa for site class C (exception 1 and use static analysis (exception 2)</t>
  </si>
  <si>
    <t>F</t>
  </si>
  <si>
    <t>Chpt 20......maybe 1.2 if permitted at all.</t>
  </si>
  <si>
    <t>11.4.8 governs all Haiti. 20.3.1 says no site response analysis if T&lt;Ts OK....eh....compllicated......require study.</t>
  </si>
  <si>
    <t>Old Retrofit Reference Information, not used directly here.</t>
  </si>
  <si>
    <t>Old Rn values</t>
  </si>
  <si>
    <t>Block</t>
  </si>
  <si>
    <t>Width</t>
  </si>
  <si>
    <t>Anet/Agross</t>
  </si>
  <si>
    <t>Alternate presentation not used</t>
  </si>
  <si>
    <t>(cm)</t>
  </si>
  <si>
    <r>
      <rPr>
        <rFont val="Calibri"/>
        <color theme="1"/>
      </rPr>
      <t xml:space="preserve">Level Factor, </t>
    </r>
    <r>
      <rPr>
        <rFont val="Calibri"/>
        <b/>
        <color rgb="FF000000"/>
        <sz val="11.0"/>
      </rPr>
      <t>C</t>
    </r>
    <r>
      <rPr>
        <rFont val="Calibri"/>
        <b/>
        <color rgb="FF000000"/>
        <sz val="11.0"/>
        <vertAlign val="subscript"/>
      </rPr>
      <t>L</t>
    </r>
  </si>
  <si>
    <t>Not permitted</t>
  </si>
  <si>
    <t># Stories in Building</t>
  </si>
  <si>
    <t>Notes</t>
  </si>
  <si>
    <t>Level</t>
  </si>
  <si>
    <t>1-Story</t>
  </si>
  <si>
    <t>2-Story</t>
  </si>
  <si>
    <t>3-Story</t>
  </si>
  <si>
    <t>-</t>
  </si>
  <si>
    <t>For buildings with heavy floors and roofs having concrete slabs and joists, and masonry void forms.</t>
  </si>
  <si>
    <t>Old Retrofit Factors not Used Here</t>
  </si>
  <si>
    <t>Cw factor</t>
  </si>
  <si>
    <r>
      <rPr>
        <rFont val="Calibri"/>
        <color theme="1"/>
        <sz val="11.0"/>
      </rPr>
      <t xml:space="preserve">Construction Quality Factor, </t>
    </r>
    <r>
      <rPr>
        <rFont val="Calibri"/>
        <b/>
        <color rgb="FF000000"/>
        <sz val="11.0"/>
      </rPr>
      <t>C</t>
    </r>
    <r>
      <rPr>
        <rFont val="Calibri"/>
        <b/>
        <color rgb="FF000000"/>
        <sz val="11.0"/>
        <vertAlign val="subscript"/>
      </rPr>
      <t>Q</t>
    </r>
  </si>
  <si>
    <t>For buildings with light roofs made of sheet metal or wood framing.</t>
  </si>
  <si>
    <t>Average Quality Construction</t>
  </si>
  <si>
    <r>
      <rPr>
        <rFont val="Calibri"/>
        <color theme="1"/>
        <sz val="11.0"/>
      </rPr>
      <t xml:space="preserve">Importance Factor, </t>
    </r>
    <r>
      <rPr>
        <rFont val="Calibri"/>
        <b/>
        <color rgb="FF000000"/>
        <sz val="11.0"/>
      </rPr>
      <t>C</t>
    </r>
    <r>
      <rPr>
        <rFont val="Calibri"/>
        <b/>
        <color rgb="FF000000"/>
        <sz val="11.0"/>
        <vertAlign val="subscript"/>
      </rPr>
      <t>I</t>
    </r>
  </si>
  <si>
    <t>Cw Factor</t>
  </si>
  <si>
    <t>Life Safety Performance</t>
  </si>
  <si>
    <t>Immediate Occupancy Performance</t>
  </si>
  <si>
    <t>Derivation of Cb factors to right. Can't quite figure out where the retrofit values came from but sqrt ratio is close enough.</t>
  </si>
  <si>
    <r>
      <rPr>
        <rFont val="Calibri"/>
        <color theme="1"/>
        <sz val="11.0"/>
      </rPr>
      <t xml:space="preserve">Evaluation/Retrofit Factor, </t>
    </r>
    <r>
      <rPr>
        <rFont val="Calibri"/>
        <b/>
        <color rgb="FF000000"/>
        <sz val="11.0"/>
      </rPr>
      <t>C</t>
    </r>
    <r>
      <rPr>
        <rFont val="Calibri"/>
        <b/>
        <color rgb="FF000000"/>
        <sz val="11.0"/>
        <vertAlign val="subscript"/>
      </rPr>
      <t>R</t>
    </r>
  </si>
  <si>
    <t>sqrt(555/(51.2+0.724f'm))</t>
  </si>
  <si>
    <t>source...? old retrofit equations....?</t>
  </si>
  <si>
    <t>Evaluating Retrofit Scheme</t>
  </si>
  <si>
    <t>Evaluating Existing Structure</t>
  </si>
  <si>
    <t>Calc Cb</t>
  </si>
  <si>
    <t>sqrt(700/f'm)</t>
  </si>
  <si>
    <t>sqrt(1000/f'm)</t>
  </si>
  <si>
    <t>2sqrt(f'm)</t>
  </si>
  <si>
    <t>2.25sqrt(f'm)</t>
  </si>
  <si>
    <t>Sqrt(vm/700)</t>
  </si>
  <si>
    <t>(51.2+0.724f'm)</t>
  </si>
  <si>
    <t>New Plaster</t>
  </si>
  <si>
    <r>
      <rPr>
        <rFont val="Calibri"/>
        <color theme="1"/>
        <sz val="11.0"/>
      </rPr>
      <t xml:space="preserve">Area Adjustment Factor, </t>
    </r>
    <r>
      <rPr>
        <rFont val="Calibri"/>
        <b/>
        <color rgb="FF000000"/>
        <sz val="11.0"/>
      </rPr>
      <t>K</t>
    </r>
    <r>
      <rPr>
        <rFont val="Calibri"/>
        <b/>
        <color rgb="FF000000"/>
        <sz val="11.0"/>
        <vertAlign val="subscript"/>
      </rPr>
      <t>p</t>
    </r>
  </si>
  <si>
    <r>
      <rPr>
        <rFont val="Calibri"/>
        <color theme="1"/>
        <sz val="11.0"/>
      </rPr>
      <t>K</t>
    </r>
    <r>
      <rPr>
        <rFont val="Calibri"/>
        <color rgb="FF000000"/>
        <sz val="11.0"/>
        <vertAlign val="subscript"/>
      </rPr>
      <t>p</t>
    </r>
    <r>
      <rPr>
        <rFont val="Calibri"/>
        <color theme="1"/>
        <sz val="11.0"/>
      </rPr>
      <t xml:space="preserve"> = 0.5.  t</t>
    </r>
    <r>
      <rPr>
        <rFont val="Calibri"/>
        <color rgb="FF000000"/>
        <sz val="11.0"/>
        <vertAlign val="subscript"/>
      </rPr>
      <t>p</t>
    </r>
    <r>
      <rPr>
        <rFont val="Calibri"/>
        <color theme="1"/>
        <sz val="11.0"/>
      </rPr>
      <t xml:space="preserve"> max = 2.5 cm (1.25 cm plaster on each side of wall)</t>
    </r>
  </si>
  <si>
    <t>New Concrete Overlay</t>
  </si>
  <si>
    <t>Close Enough, just use sqrt ratio</t>
  </si>
  <si>
    <r>
      <rPr>
        <rFont val="Calibri"/>
        <color theme="1"/>
        <sz val="11.0"/>
      </rPr>
      <t xml:space="preserve">Area Adjustment Factor, </t>
    </r>
    <r>
      <rPr>
        <rFont val="Calibri"/>
        <b/>
        <color rgb="FF000000"/>
        <sz val="11.0"/>
      </rPr>
      <t>K</t>
    </r>
    <r>
      <rPr>
        <rFont val="Calibri"/>
        <b/>
        <color rgb="FF000000"/>
        <sz val="11.0"/>
        <vertAlign val="subscript"/>
      </rPr>
      <t>c</t>
    </r>
  </si>
  <si>
    <r>
      <rPr>
        <rFont val="Calibri"/>
        <color theme="1"/>
        <sz val="11.0"/>
      </rPr>
      <t>K</t>
    </r>
    <r>
      <rPr>
        <rFont val="Calibri"/>
        <color rgb="FF000000"/>
        <sz val="11.0"/>
        <vertAlign val="subscript"/>
      </rPr>
      <t>c</t>
    </r>
    <r>
      <rPr>
        <rFont val="Calibri"/>
        <color theme="1"/>
        <sz val="11.0"/>
      </rPr>
      <t xml:space="preserve"> = 1.5.  t</t>
    </r>
    <r>
      <rPr>
        <rFont val="Calibri"/>
        <color rgb="FF000000"/>
        <sz val="11.0"/>
        <vertAlign val="subscript"/>
      </rPr>
      <t>c</t>
    </r>
    <r>
      <rPr>
        <rFont val="Calibri"/>
        <color theme="1"/>
        <sz val="11.0"/>
      </rPr>
      <t xml:space="preserve"> max = 7.5 cm concrete on one side of wall</t>
    </r>
  </si>
  <si>
    <t>Retrofit</t>
  </si>
  <si>
    <r>
      <rPr>
        <rFont val="Calibri"/>
        <color theme="1"/>
        <sz val="11.0"/>
      </rPr>
      <t xml:space="preserve">Block Strength Factor, </t>
    </r>
    <r>
      <rPr>
        <rFont val="Calibri"/>
        <b/>
        <color rgb="FF000000"/>
        <sz val="11.0"/>
      </rPr>
      <t>C</t>
    </r>
    <r>
      <rPr>
        <rFont val="Calibri"/>
        <b/>
        <color rgb="FF000000"/>
        <sz val="11.0"/>
        <vertAlign val="subscript"/>
      </rPr>
      <t>B</t>
    </r>
  </si>
  <si>
    <t>Masonry fm
MPa (psi)</t>
  </si>
  <si>
    <r>
      <rPr>
        <rFont val="Calibri"/>
        <color theme="1"/>
        <sz val="11.0"/>
      </rPr>
      <t>C</t>
    </r>
    <r>
      <rPr>
        <rFont val="Calibri"/>
        <color rgb="FF000000"/>
        <sz val="11.0"/>
        <vertAlign val="subscript"/>
      </rPr>
      <t>B</t>
    </r>
    <r>
      <rPr>
        <rFont val="Calibri"/>
        <color theme="1"/>
        <sz val="11.0"/>
      </rPr>
      <t xml:space="preserve"> Factor</t>
    </r>
  </si>
  <si>
    <r>
      <rPr>
        <rFont val="Calibri"/>
        <color theme="1"/>
        <sz val="11.0"/>
      </rPr>
      <t xml:space="preserve">Seismic Force Reduction Factor, </t>
    </r>
    <r>
      <rPr>
        <rFont val="Calibri"/>
        <b/>
        <color rgb="FF000000"/>
        <sz val="11.0"/>
      </rPr>
      <t>m</t>
    </r>
  </si>
  <si>
    <t>1.7 (250)</t>
  </si>
  <si>
    <t>Masonry fm
MPa (MPa)</t>
  </si>
  <si>
    <t>System</t>
  </si>
  <si>
    <t>2.8 (400)</t>
  </si>
  <si>
    <t>URM</t>
  </si>
  <si>
    <t>CM and IM</t>
  </si>
  <si>
    <t>4.8 (700)</t>
  </si>
  <si>
    <t>&lt; 10</t>
  </si>
  <si>
    <t>6.9 (1000)</t>
  </si>
  <si>
    <r>
      <rPr>
        <rFont val="Calibri"/>
        <color rgb="FF000000"/>
        <sz val="11.0"/>
      </rPr>
      <t>≥</t>
    </r>
    <r>
      <rPr>
        <rFont val="Calibri"/>
        <color theme="1"/>
        <sz val="11.0"/>
      </rPr>
      <t xml:space="preserve"> 10</t>
    </r>
  </si>
  <si>
    <t>10 (1450)</t>
  </si>
  <si>
    <t>11.7 (1700)</t>
  </si>
  <si>
    <t>New Masonry Wall</t>
  </si>
  <si>
    <r>
      <rPr>
        <rFont val="Calibri"/>
        <color theme="1"/>
      </rPr>
      <t xml:space="preserve">Level Factor, </t>
    </r>
    <r>
      <rPr>
        <rFont val="Calibri"/>
        <b/>
        <color rgb="FF000000"/>
        <sz val="11.0"/>
      </rPr>
      <t>C</t>
    </r>
    <r>
      <rPr>
        <rFont val="Calibri"/>
        <b/>
        <color rgb="FF000000"/>
        <sz val="11.0"/>
        <vertAlign val="subscript"/>
      </rPr>
      <t>L</t>
    </r>
  </si>
  <si>
    <r>
      <rPr>
        <rFont val="Calibri"/>
        <color theme="1"/>
      </rPr>
      <t>Area Adjustment Factor,</t>
    </r>
    <r>
      <rPr>
        <rFont val="Calibri"/>
        <b/>
        <color rgb="FF000000"/>
        <sz val="11.0"/>
      </rPr>
      <t>K</t>
    </r>
    <r>
      <rPr>
        <rFont val="Calibri"/>
        <b/>
        <color rgb="FF000000"/>
        <sz val="11.0"/>
        <vertAlign val="subscript"/>
      </rPr>
      <t>m</t>
    </r>
  </si>
  <si>
    <t>New Masonry</t>
  </si>
  <si>
    <t>Existing Masonry</t>
  </si>
  <si>
    <t>f'm MPa (psi)</t>
  </si>
  <si>
    <t>f'm</t>
  </si>
  <si>
    <t>6.9  (1000)</t>
  </si>
  <si>
    <t>12 (1740)</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</si>
</sst>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m-d"/>
    <numFmt numFmtId="165" formatCode="0.0"/>
    <numFmt numFmtId="166" formatCode="0.000"/>
    <numFmt numFmtId="167" formatCode="0.0000"/>
    <numFmt numFmtId="168" formatCode="0.0%"/>
    <numFmt numFmtId="169" formatCode="#,##0.000"/>
    <numFmt numFmtId="170" formatCode="0.000%"/>
    <numFmt numFmtId="171" formatCode="0.0000000"/>
    <numFmt numFmtId="172" formatCode="0.000000"/>
  </numFmts>
  <fonts count="53">
    <font>
      <sz val="11.0"/>
      <color theme="1"/>
      <name val="Calibri"/>
      <scheme val="minor"/>
    </font>
    <font>
      <sz val="11.0"/>
      <color theme="1"/>
      <name val="Calibri"/>
    </font>
    <font>
      <b/>
      <sz val="16.0"/>
      <color rgb="FFFFFFFF"/>
      <name val="Arial"/>
    </font>
    <font>
      <i/>
      <sz val="12.0"/>
      <color rgb="FFBDD7EE"/>
      <name val="Arial"/>
    </font>
    <font>
      <i/>
      <sz val="11.0"/>
      <color rgb="FFBDD7EE"/>
      <name val="Arial"/>
    </font>
    <font>
      <b/>
      <sz val="12.0"/>
      <color rgb="FFFFFFFF"/>
      <name val="Arial"/>
    </font>
    <font/>
    <font>
      <b/>
      <sz val="11.0"/>
      <color rgb="FF2E75B6"/>
      <name val="Arial"/>
    </font>
    <font>
      <sz val="11.0"/>
      <color theme="1"/>
      <name val="Arial"/>
    </font>
    <font>
      <b/>
      <sz val="11.0"/>
      <color rgb="FFFFFFFF"/>
      <name val="Arial"/>
    </font>
    <font>
      <b/>
      <sz val="11.0"/>
      <color theme="1"/>
      <name val="Arial"/>
    </font>
    <font>
      <sz val="11.0"/>
      <color rgb="FF404040"/>
      <name val="Arial"/>
    </font>
    <font>
      <b/>
      <sz val="11.0"/>
      <color rgb="FF375623"/>
      <name val="Arial"/>
    </font>
    <font>
      <b/>
      <sz val="12.0"/>
      <color rgb="FF7B3F00"/>
      <name val="Arial"/>
    </font>
    <font>
      <b/>
      <sz val="11.0"/>
      <color rgb="FFC55A11"/>
      <name val="Arial"/>
    </font>
    <font>
      <sz val="11.0"/>
      <color rgb="FF7B3F00"/>
      <name val="Arial"/>
    </font>
    <font>
      <color theme="1"/>
      <name val="Calibri"/>
      <scheme val="minor"/>
    </font>
    <font>
      <color theme="1"/>
      <name val="Calibri"/>
    </font>
    <font>
      <b/>
      <sz val="13.0"/>
      <color theme="1"/>
      <name val="Calibri"/>
    </font>
    <font>
      <sz val="12.0"/>
      <color theme="1"/>
      <name val="Calibri"/>
    </font>
    <font>
      <b/>
      <sz val="12.0"/>
      <color rgb="FF000000"/>
      <name val="Calibri"/>
    </font>
    <font>
      <b/>
      <sz val="11.0"/>
      <color rgb="FF000000"/>
      <name val="Calibri"/>
    </font>
    <font>
      <b/>
      <sz val="12.0"/>
      <color theme="1"/>
      <name val="Calibri"/>
    </font>
    <font>
      <sz val="12.0"/>
      <color rgb="FF000000"/>
      <name val="Calibri"/>
    </font>
    <font>
      <b/>
      <sz val="13.0"/>
      <color rgb="FF000000"/>
      <name val="Calibri"/>
    </font>
    <font>
      <sz val="13.0"/>
      <color theme="1"/>
      <name val="Calibri"/>
    </font>
    <font>
      <sz val="12.0"/>
      <color theme="1"/>
      <name val="Calibri"/>
      <scheme val="minor"/>
    </font>
    <font>
      <sz val="13.0"/>
      <color theme="1"/>
      <name val="Calibri"/>
      <scheme val="minor"/>
    </font>
    <font>
      <u/>
      <sz val="12.0"/>
      <color theme="1"/>
      <name val="Calibri"/>
    </font>
    <font>
      <u/>
      <sz val="12.0"/>
      <color rgb="FF000000"/>
      <name val="Calibri"/>
    </font>
    <font>
      <u/>
      <sz val="12.0"/>
      <color theme="1"/>
      <name val="Calibri"/>
    </font>
    <font>
      <b/>
      <sz val="30.0"/>
      <color theme="1"/>
      <name val="Calibri"/>
    </font>
    <font>
      <b/>
      <color theme="1"/>
      <name val="Calibri"/>
      <scheme val="minor"/>
    </font>
    <font>
      <b/>
      <sz val="12.0"/>
      <color theme="1"/>
      <name val="Calibri"/>
      <scheme val="minor"/>
    </font>
    <font>
      <sz val="15.0"/>
      <color theme="1"/>
      <name val="Calibri"/>
      <scheme val="minor"/>
    </font>
    <font>
      <b/>
      <sz val="16.0"/>
      <color theme="1"/>
      <name val="Calibri"/>
    </font>
    <font>
      <sz val="16.0"/>
      <color theme="1"/>
      <name val="Calibri"/>
    </font>
    <font>
      <b/>
      <u/>
      <sz val="16.0"/>
      <color theme="1"/>
      <name val="Calibri"/>
    </font>
    <font>
      <b/>
      <u/>
      <sz val="14.0"/>
      <color theme="1"/>
      <name val="Calibri"/>
    </font>
    <font>
      <sz val="13.0"/>
      <color rgb="FF000000"/>
      <name val="Calibri"/>
    </font>
    <font>
      <b/>
      <u/>
      <color theme="1"/>
      <name val="Calibri"/>
      <scheme val="minor"/>
    </font>
    <font>
      <b/>
      <sz val="13.0"/>
      <color theme="1"/>
      <name val="Calibri"/>
      <scheme val="minor"/>
    </font>
    <font>
      <b/>
      <sz val="11.0"/>
      <color theme="1"/>
      <name val="Calibri"/>
    </font>
    <font>
      <b/>
      <u/>
      <sz val="14.0"/>
      <color theme="1"/>
      <name val="Calibri"/>
      <scheme val="minor"/>
    </font>
    <font>
      <sz val="14.0"/>
      <color theme="1"/>
      <name val="Calibri"/>
      <scheme val="minor"/>
    </font>
    <font>
      <sz val="14.0"/>
      <color theme="1"/>
      <name val="Calibri"/>
    </font>
    <font>
      <b/>
      <sz val="12.0"/>
      <color rgb="FF000000"/>
      <name val="Calibri"/>
      <scheme val="minor"/>
    </font>
    <font>
      <b/>
      <u/>
      <sz val="14.0"/>
      <color theme="1"/>
      <name val="Calibri"/>
      <scheme val="minor"/>
    </font>
    <font>
      <b/>
      <u/>
      <sz val="14.0"/>
      <color theme="1"/>
      <name val="Calibri"/>
      <scheme val="minor"/>
    </font>
    <font>
      <b/>
      <sz val="20.0"/>
      <color theme="1"/>
      <name val="Calibri"/>
    </font>
    <font>
      <b/>
      <color theme="1"/>
      <name val="Arial"/>
    </font>
    <font>
      <color theme="1"/>
      <name val="Arial"/>
    </font>
    <font>
      <b/>
      <u/>
      <color theme="1"/>
      <name val="Calibri"/>
    </font>
  </fonts>
  <fills count="12">
    <fill>
      <patternFill patternType="none"/>
    </fill>
    <fill>
      <patternFill patternType="lightGray"/>
    </fill>
    <fill>
      <patternFill patternType="solid">
        <fgColor rgb="FF1F3864"/>
        <bgColor rgb="FF1F3864"/>
      </patternFill>
    </fill>
    <fill>
      <patternFill patternType="solid">
        <fgColor rgb="FF2E75B6"/>
        <bgColor rgb="FF2E75B6"/>
      </patternFill>
    </fill>
    <fill>
      <patternFill patternType="solid">
        <fgColor rgb="FFFFFFFF"/>
        <bgColor rgb="FFFFFFFF"/>
      </patternFill>
    </fill>
    <fill>
      <patternFill patternType="solid">
        <fgColor rgb="FF4472C4"/>
        <bgColor rgb="FF4472C4"/>
      </patternFill>
    </fill>
    <fill>
      <patternFill patternType="solid">
        <fgColor rgb="FFF2F2F2"/>
        <bgColor rgb="FFF2F2F2"/>
      </patternFill>
    </fill>
    <fill>
      <patternFill patternType="solid">
        <fgColor rgb="FFE2EFDA"/>
        <bgColor rgb="FFE2EFDA"/>
      </patternFill>
    </fill>
    <fill>
      <patternFill patternType="solid">
        <fgColor rgb="FFFFF2CC"/>
        <bgColor rgb="FFFFF2CC"/>
      </patternFill>
    </fill>
    <fill>
      <patternFill patternType="solid">
        <fgColor rgb="FFFFFF00"/>
        <bgColor rgb="FFFFFF00"/>
      </patternFill>
    </fill>
    <fill>
      <patternFill patternType="solid">
        <fgColor rgb="FFCCCCCC"/>
        <bgColor rgb="FFCCCCCC"/>
      </patternFill>
    </fill>
    <fill>
      <patternFill patternType="solid">
        <fgColor rgb="FFB7B7B7"/>
        <bgColor rgb="FFB7B7B7"/>
      </patternFill>
    </fill>
  </fills>
  <borders count="101">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top style="thin">
        <color rgb="FF000000"/>
      </top>
      <bottom style="thin">
        <color rgb="FF000000"/>
      </bottom>
    </border>
    <border>
      <bottom style="medium">
        <color rgb="FF000000"/>
      </bottom>
    </border>
    <border>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top style="thin">
        <color rgb="FF000000"/>
      </top>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rder>
    <border>
      <left style="thick">
        <color rgb="FF000000"/>
      </left>
      <right style="thick">
        <color rgb="FF000000"/>
      </right>
    </border>
    <border>
      <left style="thick">
        <color rgb="FF000000"/>
      </left>
      <right style="thick">
        <color rgb="FF000000"/>
      </right>
      <bottom style="thick">
        <color rgb="FF000000"/>
      </bottom>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border>
    <border>
      <left style="thin">
        <color rgb="FF000000"/>
      </left>
      <right style="thin">
        <color rgb="FF000000"/>
      </right>
      <top style="thin">
        <color rgb="FF000000"/>
      </top>
    </border>
    <border>
      <left style="thin">
        <color rgb="FF000000"/>
      </left>
      <right style="thick">
        <color rgb="FF000000"/>
      </right>
      <top style="thin">
        <color rgb="FF000000"/>
      </top>
    </border>
    <border>
      <left style="thin">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n">
        <color rgb="FF000000"/>
      </left>
      <right style="thin">
        <color rgb="FF000000"/>
      </right>
    </border>
    <border>
      <left style="thin">
        <color rgb="FF000000"/>
      </left>
      <right style="thick">
        <color rgb="FF000000"/>
      </right>
    </border>
    <border>
      <left style="thin">
        <color rgb="FF000000"/>
      </left>
      <right style="thin">
        <color rgb="FF000000"/>
      </right>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ck">
        <color rgb="FF000000"/>
      </right>
      <bottom style="thin">
        <color rgb="FF000000"/>
      </bottom>
    </border>
    <border>
      <left style="thick">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left style="thick">
        <color rgb="FF000000"/>
      </left>
      <right style="thin">
        <color rgb="FF000000"/>
      </right>
      <bottom style="thin">
        <color rgb="FF000000"/>
      </bottom>
    </border>
    <border>
      <left style="thick">
        <color rgb="FF000000"/>
      </left>
      <right style="thin">
        <color rgb="FF000000"/>
      </right>
    </border>
    <border>
      <left style="thick">
        <color rgb="FF000000"/>
      </left>
      <right style="thin">
        <color rgb="FF000000"/>
      </right>
      <bottom style="thick">
        <color rgb="FF000000"/>
      </bottom>
    </border>
    <border>
      <left style="thin">
        <color rgb="FF000000"/>
      </left>
      <top style="thin">
        <color rgb="FF000000"/>
      </top>
    </border>
    <border>
      <right style="thin">
        <color rgb="FF000000"/>
      </right>
      <top style="thin">
        <color rgb="FF000000"/>
      </top>
    </border>
    <border>
      <left style="thin">
        <color rgb="FF000000"/>
      </left>
    </border>
    <border>
      <left style="medium">
        <color rgb="FF000000"/>
      </lef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top style="medium">
        <color rgb="FF000000"/>
      </top>
    </border>
    <border>
      <right style="medium">
        <color rgb="FF000000"/>
      </right>
      <top style="medium">
        <color rgb="FF000000"/>
      </top>
    </border>
    <border>
      <left style="medium">
        <color rgb="FF000000"/>
      </lef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border>
    <border>
      <right style="medium">
        <color rgb="FF000000"/>
      </right>
    </border>
    <border>
      <left style="medium">
        <color rgb="FF000000"/>
      </left>
      <top style="thin">
        <color rgb="FF000000"/>
      </top>
      <bottom style="medium">
        <color rgb="FF000000"/>
      </bottom>
    </border>
    <border>
      <left style="medium">
        <color rgb="FF000000"/>
      </left>
      <right style="thin">
        <color rgb="FF000000"/>
      </right>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bottom style="thin">
        <color rgb="FF000000"/>
      </bottom>
    </border>
    <border>
      <left style="thin">
        <color rgb="FF000000"/>
      </left>
      <right style="medium">
        <color rgb="FF000000"/>
      </right>
      <bottom style="thin">
        <color rgb="FF000000"/>
      </bottom>
    </border>
    <border>
      <left style="medium">
        <color rgb="FF000000"/>
      </left>
      <right style="medium">
        <color rgb="FF000000"/>
      </right>
    </border>
    <border>
      <left style="medium">
        <color rgb="FF000000"/>
      </left>
      <top style="thin">
        <color rgb="FF000000"/>
      </top>
    </border>
    <border>
      <right style="medium">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s>
  <cellStyleXfs count="1">
    <xf borderId="0" fillId="0" fontId="0" numFmtId="0" applyAlignment="1" applyFont="1"/>
  </cellStyleXfs>
  <cellXfs count="682">
    <xf borderId="0" fillId="0" fontId="0" numFmtId="0" xfId="0" applyAlignment="1" applyFont="1">
      <alignment readingOrder="0" shrinkToFit="0" vertical="bottom" wrapText="0"/>
    </xf>
    <xf borderId="0" fillId="2" fontId="1" numFmtId="0" xfId="0" applyAlignment="1" applyFill="1" applyFont="1">
      <alignment vertical="bottom"/>
    </xf>
    <xf borderId="0" fillId="2" fontId="2" numFmtId="0" xfId="0" applyAlignment="1" applyFont="1">
      <alignment vertical="bottom"/>
    </xf>
    <xf borderId="0" fillId="2" fontId="3" numFmtId="0" xfId="0" applyAlignment="1" applyFont="1">
      <alignment vertical="bottom"/>
    </xf>
    <xf borderId="0" fillId="2" fontId="4" numFmtId="0" xfId="0" applyAlignment="1" applyFont="1">
      <alignment vertical="bottom"/>
    </xf>
    <xf borderId="0" fillId="0" fontId="1" numFmtId="0" xfId="0" applyAlignment="1" applyFont="1">
      <alignment vertical="bottom"/>
    </xf>
    <xf borderId="1" fillId="3" fontId="5" numFmtId="0" xfId="0" applyAlignment="1" applyBorder="1" applyFill="1" applyFont="1">
      <alignment vertical="bottom"/>
    </xf>
    <xf borderId="2" fillId="0" fontId="6" numFmtId="0" xfId="0" applyBorder="1" applyFont="1"/>
    <xf borderId="3" fillId="0" fontId="6" numFmtId="0" xfId="0" applyBorder="1" applyFont="1"/>
    <xf borderId="4" fillId="4" fontId="7" numFmtId="0" xfId="0" applyAlignment="1" applyBorder="1" applyFill="1" applyFont="1">
      <alignment horizontal="center" vertical="bottom"/>
    </xf>
    <xf borderId="1" fillId="4" fontId="8" numFmtId="0" xfId="0" applyAlignment="1" applyBorder="1" applyFont="1">
      <alignment shrinkToFit="0" vertical="bottom" wrapText="1"/>
    </xf>
    <xf borderId="4" fillId="0" fontId="1" numFmtId="0" xfId="0" applyAlignment="1" applyBorder="1" applyFont="1">
      <alignment vertical="bottom"/>
    </xf>
    <xf borderId="4" fillId="5" fontId="9" numFmtId="0" xfId="0" applyAlignment="1" applyBorder="1" applyFill="1" applyFont="1">
      <alignment horizontal="center" vertical="bottom"/>
    </xf>
    <xf borderId="4" fillId="6" fontId="7" numFmtId="0" xfId="0" applyAlignment="1" applyBorder="1" applyFill="1" applyFont="1">
      <alignment horizontal="center" vertical="bottom"/>
    </xf>
    <xf borderId="4" fillId="6" fontId="10" numFmtId="0" xfId="0" applyAlignment="1" applyBorder="1" applyFont="1">
      <alignment vertical="bottom"/>
    </xf>
    <xf borderId="4" fillId="6" fontId="11" numFmtId="0" xfId="0" applyAlignment="1" applyBorder="1" applyFont="1">
      <alignment shrinkToFit="0" vertical="bottom" wrapText="1"/>
    </xf>
    <xf borderId="4" fillId="4" fontId="10" numFmtId="0" xfId="0" applyAlignment="1" applyBorder="1" applyFont="1">
      <alignment vertical="bottom"/>
    </xf>
    <xf borderId="4" fillId="4" fontId="11" numFmtId="0" xfId="0" applyAlignment="1" applyBorder="1" applyFont="1">
      <alignment shrinkToFit="0" vertical="bottom" wrapText="1"/>
    </xf>
    <xf borderId="4" fillId="4" fontId="10" numFmtId="0" xfId="0" applyAlignment="1" applyBorder="1" applyFont="1">
      <alignment readingOrder="0" vertical="bottom"/>
    </xf>
    <xf borderId="4" fillId="7" fontId="12" numFmtId="0" xfId="0" applyAlignment="1" applyBorder="1" applyFill="1" applyFont="1">
      <alignment horizontal="center" vertical="bottom"/>
    </xf>
    <xf borderId="4" fillId="7" fontId="10" numFmtId="0" xfId="0" applyAlignment="1" applyBorder="1" applyFont="1">
      <alignment vertical="bottom"/>
    </xf>
    <xf borderId="4" fillId="7" fontId="11" numFmtId="0" xfId="0" applyAlignment="1" applyBorder="1" applyFont="1">
      <alignment shrinkToFit="0" vertical="bottom" wrapText="1"/>
    </xf>
    <xf borderId="4" fillId="4" fontId="12" numFmtId="0" xfId="0" applyAlignment="1" applyBorder="1" applyFont="1">
      <alignment horizontal="center" vertical="bottom"/>
    </xf>
    <xf borderId="1" fillId="8" fontId="13" numFmtId="0" xfId="0" applyAlignment="1" applyBorder="1" applyFill="1" applyFont="1">
      <alignment vertical="bottom"/>
    </xf>
    <xf borderId="4" fillId="8" fontId="14" numFmtId="0" xfId="0" applyAlignment="1" applyBorder="1" applyFont="1">
      <alignment horizontal="center" vertical="bottom"/>
    </xf>
    <xf borderId="1" fillId="8" fontId="15" numFmtId="0" xfId="0" applyAlignment="1" applyBorder="1" applyFont="1">
      <alignment shrinkToFit="0" vertical="bottom" wrapText="1"/>
    </xf>
    <xf borderId="0" fillId="0" fontId="16" numFmtId="0" xfId="0" applyAlignment="1" applyFont="1">
      <alignment readingOrder="0"/>
    </xf>
    <xf borderId="0" fillId="0" fontId="16" numFmtId="0" xfId="0" applyAlignment="1" applyFont="1">
      <alignment readingOrder="0" shrinkToFit="0" wrapText="1"/>
    </xf>
    <xf borderId="0" fillId="0" fontId="17" numFmtId="0" xfId="0" applyAlignment="1" applyFont="1">
      <alignment horizontal="left" readingOrder="0"/>
    </xf>
    <xf borderId="0" fillId="0" fontId="17" numFmtId="0" xfId="0" applyAlignment="1" applyFont="1">
      <alignment horizontal="center" readingOrder="0"/>
    </xf>
    <xf borderId="0" fillId="0" fontId="17" numFmtId="0" xfId="0" applyAlignment="1" applyFont="1">
      <alignment horizontal="center"/>
    </xf>
    <xf borderId="0" fillId="0" fontId="16" numFmtId="0" xfId="0" applyAlignment="1" applyFont="1">
      <alignment horizontal="left" readingOrder="0"/>
    </xf>
    <xf borderId="0" fillId="0" fontId="17" numFmtId="0" xfId="0" applyAlignment="1" applyFont="1">
      <alignment readingOrder="0"/>
    </xf>
    <xf borderId="0" fillId="0" fontId="17" numFmtId="0" xfId="0" applyFont="1"/>
    <xf borderId="0" fillId="0" fontId="16" numFmtId="0" xfId="0" applyAlignment="1" applyFont="1">
      <alignment horizontal="left"/>
    </xf>
    <xf borderId="0" fillId="0" fontId="17" numFmtId="0" xfId="0" applyAlignment="1" applyFont="1">
      <alignment shrinkToFit="0" wrapText="1"/>
    </xf>
    <xf borderId="0" fillId="0" fontId="17" numFmtId="0" xfId="0" applyAlignment="1" applyFont="1">
      <alignment readingOrder="0" shrinkToFit="0" wrapText="1"/>
    </xf>
    <xf borderId="0" fillId="0" fontId="17" numFmtId="0" xfId="0" applyAlignment="1" applyFont="1">
      <alignment readingOrder="0" shrinkToFit="0" wrapText="0"/>
    </xf>
    <xf borderId="0" fillId="0" fontId="17" numFmtId="0" xfId="0" applyAlignment="1" applyFont="1">
      <alignment shrinkToFit="0" wrapText="0"/>
    </xf>
    <xf borderId="0" fillId="0" fontId="1" numFmtId="0" xfId="0" applyAlignment="1" applyFont="1">
      <alignment shrinkToFit="0" vertical="bottom" wrapText="0"/>
    </xf>
    <xf borderId="0" fillId="0" fontId="1" numFmtId="0" xfId="0" applyAlignment="1" applyFont="1">
      <alignment horizontal="right" shrinkToFit="0" vertical="bottom" wrapText="0"/>
    </xf>
    <xf borderId="0" fillId="9" fontId="18" numFmtId="0" xfId="0" applyAlignment="1" applyFill="1" applyFont="1">
      <alignment readingOrder="0" shrinkToFit="0" wrapText="0"/>
    </xf>
    <xf borderId="0" fillId="9" fontId="17" numFmtId="0" xfId="0" applyAlignment="1" applyFont="1">
      <alignment shrinkToFit="0" wrapText="0"/>
    </xf>
    <xf borderId="0" fillId="0" fontId="19" numFmtId="0" xfId="0" applyFont="1"/>
    <xf borderId="0" fillId="0" fontId="20" numFmtId="0" xfId="0" applyAlignment="1" applyFont="1">
      <alignment horizontal="right" readingOrder="0"/>
    </xf>
    <xf borderId="0" fillId="0" fontId="20" numFmtId="0" xfId="0" applyAlignment="1" applyFont="1">
      <alignment horizontal="right"/>
    </xf>
    <xf borderId="0" fillId="0" fontId="21" numFmtId="0" xfId="0" applyAlignment="1" applyFont="1">
      <alignment horizontal="right"/>
    </xf>
    <xf borderId="0" fillId="0" fontId="1" numFmtId="0" xfId="0" applyFont="1"/>
    <xf borderId="0" fillId="0" fontId="19" numFmtId="0" xfId="0" applyAlignment="1" applyFont="1">
      <alignment horizontal="right"/>
    </xf>
    <xf borderId="5" fillId="0" fontId="22" numFmtId="0" xfId="0" applyAlignment="1" applyBorder="1" applyFont="1">
      <alignment readingOrder="0"/>
    </xf>
    <xf borderId="5" fillId="0" fontId="20" numFmtId="0" xfId="0" applyAlignment="1" applyBorder="1" applyFont="1">
      <alignment horizontal="left" readingOrder="0"/>
    </xf>
    <xf borderId="5" fillId="0" fontId="19" numFmtId="0" xfId="0" applyBorder="1" applyFont="1"/>
    <xf borderId="5" fillId="0" fontId="20" numFmtId="0" xfId="0" applyAlignment="1" applyBorder="1" applyFont="1">
      <alignment horizontal="right"/>
    </xf>
    <xf borderId="5" fillId="0" fontId="21" numFmtId="0" xfId="0" applyAlignment="1" applyBorder="1" applyFont="1">
      <alignment horizontal="right"/>
    </xf>
    <xf borderId="5" fillId="0" fontId="1" numFmtId="0" xfId="0" applyBorder="1" applyFont="1"/>
    <xf borderId="5" fillId="0" fontId="23" numFmtId="0" xfId="0" applyAlignment="1" applyBorder="1" applyFont="1">
      <alignment horizontal="left" readingOrder="0"/>
    </xf>
    <xf borderId="5" fillId="0" fontId="19" numFmtId="0" xfId="0" applyAlignment="1" applyBorder="1" applyFont="1">
      <alignment readingOrder="0"/>
    </xf>
    <xf borderId="5" fillId="0" fontId="20" numFmtId="0" xfId="0" applyAlignment="1" applyBorder="1" applyFont="1">
      <alignment horizontal="right" readingOrder="0"/>
    </xf>
    <xf borderId="0" fillId="0" fontId="21" numFmtId="0" xfId="0" applyFont="1"/>
    <xf borderId="6" fillId="0" fontId="24" numFmtId="0" xfId="0" applyAlignment="1" applyBorder="1" applyFont="1">
      <alignment readingOrder="0"/>
    </xf>
    <xf borderId="6" fillId="0" fontId="25" numFmtId="0" xfId="0" applyBorder="1" applyFont="1"/>
    <xf borderId="6" fillId="0" fontId="18" numFmtId="0" xfId="0" applyAlignment="1" applyBorder="1" applyFont="1">
      <alignment readingOrder="0"/>
    </xf>
    <xf borderId="0" fillId="0" fontId="1" numFmtId="0" xfId="0" applyAlignment="1" applyFont="1">
      <alignment vertical="bottom"/>
    </xf>
    <xf borderId="0" fillId="0" fontId="19" numFmtId="0" xfId="0" applyAlignment="1" applyFont="1">
      <alignment horizontal="right" readingOrder="0" vertical="bottom"/>
    </xf>
    <xf borderId="7" fillId="10" fontId="19" numFmtId="2" xfId="0" applyAlignment="1" applyBorder="1" applyFill="1" applyFont="1" applyNumberFormat="1">
      <alignment horizontal="center" vertical="bottom"/>
    </xf>
    <xf borderId="0" fillId="0" fontId="19" numFmtId="0" xfId="0" applyAlignment="1" applyFont="1">
      <alignment vertical="bottom"/>
    </xf>
    <xf borderId="0" fillId="0" fontId="21" numFmtId="0" xfId="0" applyAlignment="1" applyFont="1">
      <alignment horizontal="left" readingOrder="0"/>
    </xf>
    <xf borderId="0" fillId="0" fontId="19" numFmtId="0" xfId="0" applyAlignment="1" applyFont="1">
      <alignment horizontal="left" readingOrder="0"/>
    </xf>
    <xf borderId="0" fillId="0" fontId="26" numFmtId="0" xfId="0" applyFont="1"/>
    <xf borderId="0" fillId="0" fontId="18" numFmtId="0" xfId="0" applyAlignment="1" applyFont="1">
      <alignment vertical="bottom"/>
    </xf>
    <xf borderId="0" fillId="0" fontId="19" numFmtId="0" xfId="0" applyAlignment="1" applyFont="1">
      <alignment horizontal="right" readingOrder="0"/>
    </xf>
    <xf borderId="0" fillId="0" fontId="26" numFmtId="0" xfId="0" applyAlignment="1" applyFont="1">
      <alignment readingOrder="0"/>
    </xf>
    <xf borderId="0" fillId="0" fontId="27" numFmtId="0" xfId="0" applyFont="1"/>
    <xf borderId="0" fillId="0" fontId="24" numFmtId="0" xfId="0" applyFont="1"/>
    <xf borderId="0" fillId="0" fontId="20" numFmtId="0" xfId="0" applyFont="1"/>
    <xf borderId="7" fillId="10" fontId="19" numFmtId="0" xfId="0" applyAlignment="1" applyBorder="1" applyFont="1">
      <alignment horizontal="center" readingOrder="0"/>
    </xf>
    <xf borderId="0" fillId="0" fontId="19" numFmtId="0" xfId="0" applyAlignment="1" applyFont="1">
      <alignment horizontal="center" readingOrder="0" vertical="bottom"/>
    </xf>
    <xf borderId="0" fillId="0" fontId="26" numFmtId="0" xfId="0" applyAlignment="1" applyFont="1">
      <alignment horizontal="right" readingOrder="0"/>
    </xf>
    <xf borderId="0" fillId="0" fontId="19" numFmtId="0" xfId="0" applyAlignment="1" applyFont="1">
      <alignment horizontal="right" readingOrder="0" vertical="center"/>
    </xf>
    <xf borderId="7" fillId="4" fontId="1" numFmtId="0" xfId="0" applyAlignment="1" applyBorder="1" applyFont="1">
      <alignment horizontal="center"/>
    </xf>
    <xf borderId="0" fillId="0" fontId="19" numFmtId="0" xfId="0" applyAlignment="1" applyFont="1">
      <alignment readingOrder="0"/>
    </xf>
    <xf borderId="0" fillId="0" fontId="19" numFmtId="0" xfId="0" applyAlignment="1" applyFont="1">
      <alignment readingOrder="0" shrinkToFit="0" vertical="bottom" wrapText="1"/>
    </xf>
    <xf borderId="0" fillId="0" fontId="26" numFmtId="0" xfId="0" applyAlignment="1" applyFont="1">
      <alignment horizontal="center"/>
    </xf>
    <xf borderId="7" fillId="4" fontId="19" numFmtId="0" xfId="0" applyAlignment="1" applyBorder="1" applyFont="1">
      <alignment horizontal="center" vertical="bottom"/>
    </xf>
    <xf borderId="0" fillId="0" fontId="19" numFmtId="0" xfId="0" applyAlignment="1" applyFont="1">
      <alignment horizontal="center" vertical="bottom"/>
    </xf>
    <xf borderId="0" fillId="0" fontId="19" numFmtId="0" xfId="0" applyAlignment="1" applyFont="1">
      <alignment shrinkToFit="0" vertical="bottom" wrapText="1"/>
    </xf>
    <xf borderId="7" fillId="10" fontId="19" numFmtId="2" xfId="0" applyAlignment="1" applyBorder="1" applyFont="1" applyNumberFormat="1">
      <alignment horizontal="center" readingOrder="0"/>
    </xf>
    <xf borderId="0" fillId="0" fontId="1" numFmtId="0" xfId="0" applyAlignment="1" applyFont="1">
      <alignment horizontal="right" vertical="center"/>
    </xf>
    <xf borderId="0" fillId="0" fontId="28" numFmtId="0" xfId="0" applyAlignment="1" applyFont="1">
      <alignment horizontal="right" readingOrder="0"/>
    </xf>
    <xf borderId="7" fillId="10" fontId="19" numFmtId="2" xfId="0" applyAlignment="1" applyBorder="1" applyFont="1" applyNumberFormat="1">
      <alignment horizontal="center"/>
    </xf>
    <xf borderId="0" fillId="0" fontId="16" numFmtId="0" xfId="0" applyAlignment="1" applyFont="1">
      <alignment horizontal="right" readingOrder="0"/>
    </xf>
    <xf borderId="0" fillId="0" fontId="20" numFmtId="2" xfId="0" applyAlignment="1" applyFont="1" applyNumberFormat="1">
      <alignment horizontal="right"/>
    </xf>
    <xf borderId="0" fillId="0" fontId="29" numFmtId="2" xfId="0" applyAlignment="1" applyFont="1" applyNumberFormat="1">
      <alignment horizontal="center"/>
    </xf>
    <xf borderId="0" fillId="0" fontId="17" numFmtId="2" xfId="0" applyFont="1" applyNumberFormat="1"/>
    <xf borderId="0" fillId="0" fontId="30" numFmtId="2" xfId="0" applyAlignment="1" applyFont="1" applyNumberFormat="1">
      <alignment horizontal="left"/>
    </xf>
    <xf borderId="0" fillId="0" fontId="19" numFmtId="0" xfId="0" applyAlignment="1" applyFont="1">
      <alignment horizontal="center" vertical="center"/>
    </xf>
    <xf borderId="0" fillId="0" fontId="23" numFmtId="0" xfId="0" applyAlignment="1" applyFont="1">
      <alignment horizontal="center" readingOrder="0" vertical="center"/>
    </xf>
    <xf borderId="0" fillId="0" fontId="26" numFmtId="2" xfId="0" applyAlignment="1" applyFont="1" applyNumberFormat="1">
      <alignment horizontal="center"/>
    </xf>
    <xf borderId="0" fillId="0" fontId="31" numFmtId="0" xfId="0" applyAlignment="1" applyFont="1">
      <alignment readingOrder="0"/>
    </xf>
    <xf borderId="0" fillId="0" fontId="32" numFmtId="0" xfId="0" applyAlignment="1" applyFont="1">
      <alignment horizontal="center"/>
    </xf>
    <xf borderId="8" fillId="0" fontId="22" numFmtId="0" xfId="0" applyAlignment="1" applyBorder="1" applyFont="1">
      <alignment horizontal="center" readingOrder="0"/>
    </xf>
    <xf borderId="9" fillId="0" fontId="22" numFmtId="0" xfId="0" applyAlignment="1" applyBorder="1" applyFont="1">
      <alignment horizontal="center" readingOrder="0"/>
    </xf>
    <xf borderId="9" fillId="0" fontId="22" numFmtId="0" xfId="0" applyAlignment="1" applyBorder="1" applyFont="1">
      <alignment horizontal="left" readingOrder="0"/>
    </xf>
    <xf borderId="10" fillId="0" fontId="22" numFmtId="0" xfId="0" applyAlignment="1" applyBorder="1" applyFont="1">
      <alignment horizontal="left" readingOrder="0"/>
    </xf>
    <xf borderId="8" fillId="0" fontId="22" numFmtId="0" xfId="0" applyAlignment="1" applyBorder="1" applyFont="1">
      <alignment readingOrder="0"/>
    </xf>
    <xf borderId="9" fillId="0" fontId="22" numFmtId="0" xfId="0" applyAlignment="1" applyBorder="1" applyFont="1">
      <alignment horizontal="center"/>
    </xf>
    <xf borderId="9" fillId="0" fontId="33" numFmtId="0" xfId="0" applyAlignment="1" applyBorder="1" applyFont="1">
      <alignment readingOrder="0"/>
    </xf>
    <xf borderId="9" fillId="0" fontId="33" numFmtId="0" xfId="0" applyBorder="1" applyFont="1"/>
    <xf borderId="10" fillId="0" fontId="33" numFmtId="0" xfId="0" applyBorder="1" applyFont="1"/>
    <xf borderId="11" fillId="0" fontId="22" numFmtId="0" xfId="0" applyAlignment="1" applyBorder="1" applyFont="1">
      <alignment horizontal="center"/>
    </xf>
    <xf borderId="0" fillId="0" fontId="22" numFmtId="0" xfId="0" applyAlignment="1" applyFont="1">
      <alignment horizontal="center"/>
    </xf>
    <xf borderId="0" fillId="0" fontId="22" numFmtId="0" xfId="0" applyAlignment="1" applyFont="1">
      <alignment horizontal="center" readingOrder="0"/>
    </xf>
    <xf borderId="12" fillId="0" fontId="22" numFmtId="0" xfId="0" applyAlignment="1" applyBorder="1" applyFont="1">
      <alignment horizontal="center" readingOrder="0"/>
    </xf>
    <xf borderId="11" fillId="0" fontId="33" numFmtId="0" xfId="0" applyAlignment="1" applyBorder="1" applyFont="1">
      <alignment horizontal="center" readingOrder="0"/>
    </xf>
    <xf borderId="0" fillId="0" fontId="33" numFmtId="0" xfId="0" applyAlignment="1" applyFont="1">
      <alignment readingOrder="0"/>
    </xf>
    <xf borderId="0" fillId="0" fontId="33" numFmtId="0" xfId="0" applyAlignment="1" applyFont="1">
      <alignment horizontal="center" readingOrder="0"/>
    </xf>
    <xf borderId="12" fillId="0" fontId="33" numFmtId="0" xfId="0" applyAlignment="1" applyBorder="1" applyFont="1">
      <alignment horizontal="center" readingOrder="0"/>
    </xf>
    <xf borderId="11" fillId="0" fontId="33" numFmtId="0" xfId="0" applyAlignment="1" applyBorder="1" applyFont="1">
      <alignment horizontal="center"/>
    </xf>
    <xf borderId="0" fillId="0" fontId="33" numFmtId="0" xfId="0" applyAlignment="1" applyFont="1">
      <alignment horizontal="center"/>
    </xf>
    <xf borderId="13" fillId="0" fontId="33" numFmtId="0" xfId="0" applyAlignment="1" applyBorder="1" applyFont="1">
      <alignment horizontal="center"/>
    </xf>
    <xf borderId="14" fillId="0" fontId="33" numFmtId="0" xfId="0" applyAlignment="1" applyBorder="1" applyFont="1">
      <alignment horizontal="center"/>
    </xf>
    <xf borderId="14" fillId="0" fontId="33" numFmtId="0" xfId="0" applyAlignment="1" applyBorder="1" applyFont="1">
      <alignment horizontal="center" readingOrder="0"/>
    </xf>
    <xf borderId="15" fillId="0" fontId="33" numFmtId="0" xfId="0" applyAlignment="1" applyBorder="1" applyFont="1">
      <alignment horizontal="center"/>
    </xf>
    <xf borderId="14" fillId="0" fontId="33" numFmtId="0" xfId="0" applyAlignment="1" applyBorder="1" applyFont="1">
      <alignment horizontal="center" readingOrder="0" shrinkToFit="0" wrapText="1"/>
    </xf>
    <xf borderId="14" fillId="0" fontId="22" numFmtId="0" xfId="0" applyAlignment="1" applyBorder="1" applyFont="1">
      <alignment horizontal="center" readingOrder="0" shrinkToFit="0" wrapText="1"/>
    </xf>
    <xf borderId="14" fillId="0" fontId="22" numFmtId="0" xfId="0" applyAlignment="1" applyBorder="1" applyFont="1">
      <alignment horizontal="center" readingOrder="0"/>
    </xf>
    <xf borderId="13" fillId="0" fontId="33" numFmtId="0" xfId="0" applyAlignment="1" applyBorder="1" applyFont="1">
      <alignment horizontal="center" readingOrder="0"/>
    </xf>
    <xf borderId="14" fillId="0" fontId="26" numFmtId="0" xfId="0" applyAlignment="1" applyBorder="1" applyFont="1">
      <alignment horizontal="center"/>
    </xf>
    <xf borderId="15" fillId="0" fontId="26" numFmtId="0" xfId="0" applyAlignment="1" applyBorder="1" applyFont="1">
      <alignment horizontal="center"/>
    </xf>
    <xf borderId="0" fillId="0" fontId="16" numFmtId="0" xfId="0" applyAlignment="1" applyFont="1">
      <alignment horizontal="center"/>
    </xf>
    <xf borderId="11" fillId="10" fontId="19" numFmtId="0" xfId="0" applyAlignment="1" applyBorder="1" applyFont="1">
      <alignment horizontal="center" vertical="bottom"/>
    </xf>
    <xf borderId="0" fillId="10" fontId="19" numFmtId="164" xfId="0" applyAlignment="1" applyFont="1" applyNumberFormat="1">
      <alignment horizontal="center" vertical="bottom"/>
    </xf>
    <xf borderId="0" fillId="10" fontId="19" numFmtId="2" xfId="0" applyAlignment="1" applyFont="1" applyNumberFormat="1">
      <alignment horizontal="center" readingOrder="0" vertical="bottom"/>
    </xf>
    <xf borderId="0" fillId="10" fontId="19" numFmtId="165" xfId="0" applyAlignment="1" applyFont="1" applyNumberFormat="1">
      <alignment horizontal="center" readingOrder="0" vertical="bottom"/>
    </xf>
    <xf borderId="12" fillId="10" fontId="19" numFmtId="166" xfId="0" applyAlignment="1" applyBorder="1" applyFont="1" applyNumberFormat="1">
      <alignment horizontal="center" readingOrder="0" vertical="bottom"/>
    </xf>
    <xf borderId="0" fillId="0" fontId="19" numFmtId="2" xfId="0" applyAlignment="1" applyFont="1" applyNumberFormat="1">
      <alignment horizontal="center" readingOrder="0"/>
    </xf>
    <xf borderId="0" fillId="0" fontId="19" numFmtId="166" xfId="0" applyAlignment="1" applyFont="1" applyNumberFormat="1">
      <alignment horizontal="center"/>
    </xf>
    <xf borderId="0" fillId="4" fontId="19" numFmtId="166" xfId="0" applyAlignment="1" applyFont="1" applyNumberFormat="1">
      <alignment horizontal="center"/>
    </xf>
    <xf borderId="11" fillId="10" fontId="19" numFmtId="165" xfId="0" applyAlignment="1" applyBorder="1" applyFont="1" applyNumberFormat="1">
      <alignment horizontal="center"/>
    </xf>
    <xf borderId="0" fillId="4" fontId="19" numFmtId="0" xfId="0" applyAlignment="1" applyFont="1">
      <alignment horizontal="center"/>
    </xf>
    <xf borderId="0" fillId="10" fontId="19" numFmtId="165" xfId="0" applyAlignment="1" applyFont="1" applyNumberFormat="1">
      <alignment horizontal="center"/>
    </xf>
    <xf borderId="0" fillId="4" fontId="19" numFmtId="10" xfId="0" applyAlignment="1" applyFont="1" applyNumberFormat="1">
      <alignment horizontal="center"/>
    </xf>
    <xf borderId="0" fillId="0" fontId="19" numFmtId="9" xfId="0" applyAlignment="1" applyFont="1" applyNumberFormat="1">
      <alignment horizontal="center"/>
    </xf>
    <xf borderId="0" fillId="0" fontId="26" numFmtId="9" xfId="0" applyAlignment="1" applyFont="1" applyNumberFormat="1">
      <alignment horizontal="center"/>
    </xf>
    <xf borderId="0" fillId="0" fontId="26" numFmtId="4" xfId="0" applyAlignment="1" applyFont="1" applyNumberFormat="1">
      <alignment horizontal="center"/>
    </xf>
    <xf borderId="12" fillId="0" fontId="26" numFmtId="0" xfId="0" applyAlignment="1" applyBorder="1" applyFont="1">
      <alignment horizontal="center"/>
    </xf>
    <xf borderId="11" fillId="10" fontId="19" numFmtId="0" xfId="0" applyAlignment="1" applyBorder="1" applyFont="1">
      <alignment horizontal="center" vertical="bottom"/>
    </xf>
    <xf borderId="0" fillId="10" fontId="1" numFmtId="0" xfId="0" applyAlignment="1" applyFont="1">
      <alignment vertical="bottom"/>
    </xf>
    <xf borderId="0" fillId="10" fontId="1" numFmtId="2" xfId="0" applyAlignment="1" applyFont="1" applyNumberFormat="1">
      <alignment vertical="bottom"/>
    </xf>
    <xf borderId="0" fillId="10" fontId="1" numFmtId="165" xfId="0" applyAlignment="1" applyFont="1" applyNumberFormat="1">
      <alignment vertical="bottom"/>
    </xf>
    <xf borderId="12" fillId="10" fontId="1" numFmtId="166" xfId="0" applyAlignment="1" applyBorder="1" applyFont="1" applyNumberFormat="1">
      <alignment vertical="bottom"/>
    </xf>
    <xf borderId="11" fillId="10" fontId="19" numFmtId="165" xfId="0" applyAlignment="1" applyBorder="1" applyFont="1" applyNumberFormat="1">
      <alignment horizontal="center" readingOrder="0"/>
    </xf>
    <xf borderId="0" fillId="10" fontId="19" numFmtId="2" xfId="0" applyAlignment="1" applyFont="1" applyNumberFormat="1">
      <alignment horizontal="center"/>
    </xf>
    <xf borderId="0" fillId="4" fontId="19" numFmtId="0" xfId="0" applyAlignment="1" applyFont="1">
      <alignment horizontal="center"/>
    </xf>
    <xf borderId="0" fillId="10" fontId="1" numFmtId="166" xfId="0" applyAlignment="1" applyFont="1" applyNumberFormat="1">
      <alignment vertical="bottom"/>
    </xf>
    <xf borderId="0" fillId="4" fontId="19" numFmtId="2" xfId="0" applyAlignment="1" applyFont="1" applyNumberFormat="1">
      <alignment horizontal="center" readingOrder="0"/>
    </xf>
    <xf borderId="13" fillId="10" fontId="19" numFmtId="0" xfId="0" applyAlignment="1" applyBorder="1" applyFont="1">
      <alignment horizontal="center"/>
    </xf>
    <xf borderId="14" fillId="10" fontId="19" numFmtId="0" xfId="0" applyAlignment="1" applyBorder="1" applyFont="1">
      <alignment horizontal="center"/>
    </xf>
    <xf borderId="14" fillId="10" fontId="19" numFmtId="2" xfId="0" applyAlignment="1" applyBorder="1" applyFont="1" applyNumberFormat="1">
      <alignment horizontal="center"/>
    </xf>
    <xf borderId="14" fillId="10" fontId="19" numFmtId="166" xfId="0" applyAlignment="1" applyBorder="1" applyFont="1" applyNumberFormat="1">
      <alignment horizontal="center"/>
    </xf>
    <xf borderId="15" fillId="10" fontId="19" numFmtId="166" xfId="0" applyAlignment="1" applyBorder="1" applyFont="1" applyNumberFormat="1">
      <alignment horizontal="center"/>
    </xf>
    <xf borderId="14" fillId="0" fontId="19" numFmtId="2" xfId="0" applyAlignment="1" applyBorder="1" applyFont="1" applyNumberFormat="1">
      <alignment horizontal="center" readingOrder="0"/>
    </xf>
    <xf borderId="14" fillId="4" fontId="19" numFmtId="2" xfId="0" applyAlignment="1" applyBorder="1" applyFont="1" applyNumberFormat="1">
      <alignment horizontal="center" readingOrder="0"/>
    </xf>
    <xf borderId="14" fillId="0" fontId="19" numFmtId="166" xfId="0" applyAlignment="1" applyBorder="1" applyFont="1" applyNumberFormat="1">
      <alignment horizontal="center"/>
    </xf>
    <xf borderId="14" fillId="4" fontId="19" numFmtId="166" xfId="0" applyAlignment="1" applyBorder="1" applyFont="1" applyNumberFormat="1">
      <alignment horizontal="center"/>
    </xf>
    <xf borderId="13" fillId="10" fontId="19" numFmtId="165" xfId="0" applyAlignment="1" applyBorder="1" applyFont="1" applyNumberFormat="1">
      <alignment horizontal="center"/>
    </xf>
    <xf borderId="14" fillId="4" fontId="19" numFmtId="0" xfId="0" applyAlignment="1" applyBorder="1" applyFont="1">
      <alignment horizontal="center"/>
    </xf>
    <xf borderId="14" fillId="10" fontId="19" numFmtId="165" xfId="0" applyAlignment="1" applyBorder="1" applyFont="1" applyNumberFormat="1">
      <alignment horizontal="center"/>
    </xf>
    <xf borderId="14" fillId="4" fontId="19" numFmtId="0" xfId="0" applyAlignment="1" applyBorder="1" applyFont="1">
      <alignment horizontal="center"/>
    </xf>
    <xf borderId="14" fillId="0" fontId="19" numFmtId="9" xfId="0" applyAlignment="1" applyBorder="1" applyFont="1" applyNumberFormat="1">
      <alignment horizontal="center"/>
    </xf>
    <xf borderId="14" fillId="0" fontId="26" numFmtId="9" xfId="0" applyAlignment="1" applyBorder="1" applyFont="1" applyNumberFormat="1">
      <alignment horizontal="center"/>
    </xf>
    <xf borderId="14" fillId="0" fontId="26" numFmtId="4" xfId="0" applyAlignment="1" applyBorder="1" applyFont="1" applyNumberFormat="1">
      <alignment horizontal="center"/>
    </xf>
    <xf borderId="13" fillId="4" fontId="19" numFmtId="0" xfId="0" applyAlignment="1" applyBorder="1" applyFont="1">
      <alignment readingOrder="0"/>
    </xf>
    <xf borderId="14" fillId="4" fontId="19" numFmtId="0" xfId="0" applyBorder="1" applyFont="1"/>
    <xf borderId="15" fillId="4" fontId="19" numFmtId="2" xfId="0" applyBorder="1" applyFont="1" applyNumberFormat="1"/>
    <xf borderId="14" fillId="4" fontId="20" numFmtId="166" xfId="0" applyAlignment="1" applyBorder="1" applyFont="1" applyNumberFormat="1">
      <alignment horizontal="center"/>
    </xf>
    <xf borderId="14" fillId="0" fontId="19" numFmtId="0" xfId="0" applyAlignment="1" applyBorder="1" applyFont="1">
      <alignment horizontal="right" readingOrder="0"/>
    </xf>
    <xf borderId="14" fillId="4" fontId="20" numFmtId="2" xfId="0" applyAlignment="1" applyBorder="1" applyFont="1" applyNumberFormat="1">
      <alignment horizontal="center"/>
    </xf>
    <xf borderId="13" fillId="0" fontId="26" numFmtId="0" xfId="0" applyAlignment="1" applyBorder="1" applyFont="1">
      <alignment horizontal="center" readingOrder="0"/>
    </xf>
    <xf borderId="14" fillId="4" fontId="20" numFmtId="165" xfId="0" applyAlignment="1" applyBorder="1" applyFont="1" applyNumberFormat="1">
      <alignment horizontal="center"/>
    </xf>
    <xf borderId="14" fillId="4" fontId="19" numFmtId="10" xfId="0" applyAlignment="1" applyBorder="1" applyFont="1" applyNumberFormat="1">
      <alignment horizontal="center"/>
    </xf>
    <xf borderId="14" fillId="0" fontId="26" numFmtId="9" xfId="0" applyAlignment="1" applyBorder="1" applyFont="1" applyNumberFormat="1">
      <alignment horizontal="center" readingOrder="0"/>
    </xf>
    <xf borderId="14" fillId="0" fontId="26" numFmtId="0" xfId="0" applyAlignment="1" applyBorder="1" applyFont="1">
      <alignment horizontal="center" readingOrder="0"/>
    </xf>
    <xf borderId="14" fillId="0" fontId="26" numFmtId="2" xfId="0" applyAlignment="1" applyBorder="1" applyFont="1" applyNumberFormat="1">
      <alignment horizontal="center"/>
    </xf>
    <xf borderId="0" fillId="4" fontId="19" numFmtId="0" xfId="0" applyFont="1"/>
    <xf borderId="0" fillId="4" fontId="19" numFmtId="0" xfId="0" applyAlignment="1" applyFont="1">
      <alignment readingOrder="0"/>
    </xf>
    <xf borderId="0" fillId="4" fontId="20" numFmtId="10" xfId="0" applyAlignment="1" applyFont="1" applyNumberFormat="1">
      <alignment horizontal="center"/>
    </xf>
    <xf borderId="0" fillId="4" fontId="19" numFmtId="0" xfId="0" applyAlignment="1" applyFont="1">
      <alignment horizontal="right" readingOrder="0"/>
    </xf>
    <xf borderId="0" fillId="0" fontId="20" numFmtId="10" xfId="0" applyAlignment="1" applyFont="1" applyNumberFormat="1">
      <alignment horizontal="center"/>
    </xf>
    <xf borderId="0" fillId="0" fontId="26" numFmtId="0" xfId="0" applyAlignment="1" applyFont="1">
      <alignment horizontal="left" readingOrder="0"/>
    </xf>
    <xf borderId="0" fillId="0" fontId="19" numFmtId="165" xfId="0" applyAlignment="1" applyFont="1" applyNumberFormat="1">
      <alignment horizontal="center" vertical="center"/>
    </xf>
    <xf borderId="0" fillId="0" fontId="19" numFmtId="10" xfId="0" applyAlignment="1" applyFont="1" applyNumberFormat="1">
      <alignment horizontal="center" readingOrder="0" vertical="center"/>
    </xf>
    <xf borderId="0" fillId="0" fontId="26" numFmtId="10" xfId="0" applyAlignment="1" applyFont="1" applyNumberFormat="1">
      <alignment horizontal="center"/>
    </xf>
    <xf borderId="0" fillId="4" fontId="17" numFmtId="0" xfId="0" applyFont="1"/>
    <xf borderId="0" fillId="4" fontId="17" numFmtId="0" xfId="0" applyAlignment="1" applyFont="1">
      <alignment readingOrder="0"/>
    </xf>
    <xf borderId="0" fillId="4" fontId="21" numFmtId="10" xfId="0" applyAlignment="1" applyFont="1" applyNumberFormat="1">
      <alignment horizontal="center"/>
    </xf>
    <xf borderId="0" fillId="0" fontId="21" numFmtId="10" xfId="0" applyAlignment="1" applyFont="1" applyNumberFormat="1">
      <alignment horizontal="center"/>
    </xf>
    <xf borderId="0" fillId="4" fontId="1" numFmtId="0" xfId="0" applyAlignment="1" applyFont="1">
      <alignment horizontal="right" readingOrder="0"/>
    </xf>
    <xf borderId="0" fillId="0" fontId="16" numFmtId="2" xfId="0" applyAlignment="1" applyFont="1" applyNumberFormat="1">
      <alignment horizontal="center"/>
    </xf>
    <xf borderId="0" fillId="0" fontId="1" numFmtId="0" xfId="0" applyAlignment="1" applyFont="1">
      <alignment vertical="center"/>
    </xf>
    <xf borderId="0" fillId="0" fontId="34" numFmtId="0" xfId="0" applyFont="1"/>
    <xf borderId="0" fillId="0" fontId="35" numFmtId="0" xfId="0" applyAlignment="1" applyFont="1">
      <alignment readingOrder="0"/>
    </xf>
    <xf borderId="0" fillId="0" fontId="36" numFmtId="0" xfId="0" applyAlignment="1" applyFont="1">
      <alignment vertical="center"/>
    </xf>
    <xf borderId="0" fillId="0" fontId="36" numFmtId="0" xfId="0" applyAlignment="1" applyFont="1">
      <alignment horizontal="right" vertical="center"/>
    </xf>
    <xf borderId="0" fillId="0" fontId="36" numFmtId="0" xfId="0" applyAlignment="1" applyFont="1">
      <alignment horizontal="center" vertical="center"/>
    </xf>
    <xf borderId="0" fillId="0" fontId="1" numFmtId="0" xfId="0" applyAlignment="1" applyFont="1">
      <alignment readingOrder="0" vertical="center"/>
    </xf>
    <xf borderId="0" fillId="0" fontId="1" numFmtId="0" xfId="0" applyAlignment="1" applyFont="1">
      <alignment horizontal="left"/>
    </xf>
    <xf borderId="0" fillId="0" fontId="25" numFmtId="0" xfId="0" applyAlignment="1" applyFont="1">
      <alignment vertical="center"/>
    </xf>
    <xf borderId="0" fillId="0" fontId="25" numFmtId="0" xfId="0" applyAlignment="1" applyFont="1">
      <alignment horizontal="right" readingOrder="0" vertical="center"/>
    </xf>
    <xf borderId="0" fillId="0" fontId="25" numFmtId="2" xfId="0" applyAlignment="1" applyFont="1" applyNumberFormat="1">
      <alignment horizontal="center" vertical="center"/>
    </xf>
    <xf borderId="0" fillId="0" fontId="25" numFmtId="0" xfId="0" applyAlignment="1" applyFont="1">
      <alignment horizontal="left" readingOrder="0" vertical="center"/>
    </xf>
    <xf borderId="0" fillId="0" fontId="25" numFmtId="0" xfId="0" applyAlignment="1" applyFont="1">
      <alignment readingOrder="0" vertical="center"/>
    </xf>
    <xf borderId="0" fillId="0" fontId="37" numFmtId="0" xfId="0" applyAlignment="1" applyFont="1">
      <alignment readingOrder="0"/>
    </xf>
    <xf borderId="0" fillId="0" fontId="25" numFmtId="0" xfId="0" applyAlignment="1" applyFont="1">
      <alignment horizontal="right" vertical="center"/>
    </xf>
    <xf borderId="0" fillId="0" fontId="25" numFmtId="2" xfId="0" applyAlignment="1" applyFont="1" applyNumberFormat="1">
      <alignment horizontal="center"/>
    </xf>
    <xf borderId="0" fillId="0" fontId="25" numFmtId="166" xfId="0" applyAlignment="1" applyFont="1" applyNumberFormat="1">
      <alignment horizontal="center"/>
    </xf>
    <xf borderId="0" fillId="0" fontId="25" numFmtId="166" xfId="0" applyAlignment="1" applyFont="1" applyNumberFormat="1">
      <alignment horizontal="center" readingOrder="0" vertical="center"/>
    </xf>
    <xf borderId="0" fillId="0" fontId="25" numFmtId="166" xfId="0" applyAlignment="1" applyFont="1" applyNumberFormat="1">
      <alignment horizontal="center" vertical="center"/>
    </xf>
    <xf borderId="0" fillId="0" fontId="25" numFmtId="2" xfId="0" applyAlignment="1" applyFont="1" applyNumberFormat="1">
      <alignment horizontal="left" vertical="center"/>
    </xf>
    <xf borderId="0" fillId="0" fontId="25" numFmtId="1" xfId="0" applyAlignment="1" applyFont="1" applyNumberFormat="1">
      <alignment horizontal="center" vertical="center"/>
    </xf>
    <xf borderId="0" fillId="0" fontId="25" numFmtId="165" xfId="0" applyAlignment="1" applyFont="1" applyNumberFormat="1">
      <alignment horizontal="center" readingOrder="0" vertical="center"/>
    </xf>
    <xf borderId="0" fillId="0" fontId="25" numFmtId="2" xfId="0" applyAlignment="1" applyFont="1" applyNumberFormat="1">
      <alignment horizontal="left" readingOrder="0" vertical="center"/>
    </xf>
    <xf borderId="0" fillId="0" fontId="25" numFmtId="165" xfId="0" applyAlignment="1" applyFont="1" applyNumberFormat="1">
      <alignment horizontal="center" readingOrder="0"/>
    </xf>
    <xf borderId="0" fillId="0" fontId="25" numFmtId="0" xfId="0" applyAlignment="1" applyFont="1">
      <alignment readingOrder="0"/>
    </xf>
    <xf borderId="0" fillId="0" fontId="25" numFmtId="0" xfId="0" applyFont="1"/>
    <xf borderId="0" fillId="0" fontId="25" numFmtId="165" xfId="0" applyAlignment="1" applyFont="1" applyNumberFormat="1">
      <alignment horizontal="center" vertical="center"/>
    </xf>
    <xf borderId="0" fillId="0" fontId="27" numFmtId="0" xfId="0" applyAlignment="1" applyFont="1">
      <alignment horizontal="right" readingOrder="0"/>
    </xf>
    <xf borderId="0" fillId="0" fontId="25" numFmtId="165" xfId="0" applyAlignment="1" applyFont="1" applyNumberFormat="1">
      <alignment readingOrder="0"/>
    </xf>
    <xf borderId="0" fillId="0" fontId="25" numFmtId="2" xfId="0" applyAlignment="1" applyFont="1" applyNumberFormat="1">
      <alignment horizontal="center" readingOrder="0" vertical="center"/>
    </xf>
    <xf borderId="0" fillId="0" fontId="38" numFmtId="0" xfId="0" applyAlignment="1" applyFont="1">
      <alignment readingOrder="0"/>
    </xf>
    <xf borderId="0" fillId="0" fontId="17" numFmtId="0" xfId="0" applyAlignment="1" applyFont="1">
      <alignment horizontal="right" readingOrder="0"/>
    </xf>
    <xf borderId="0" fillId="0" fontId="25" numFmtId="0" xfId="0" applyAlignment="1" applyFont="1">
      <alignment horizontal="right" readingOrder="0"/>
    </xf>
    <xf borderId="0" fillId="0" fontId="25" numFmtId="1" xfId="0" applyAlignment="1" applyFont="1" applyNumberFormat="1">
      <alignment horizontal="center"/>
    </xf>
    <xf borderId="0" fillId="0" fontId="25" numFmtId="0" xfId="0" applyAlignment="1" applyFont="1">
      <alignment horizontal="left"/>
    </xf>
    <xf quotePrefix="1" borderId="0" fillId="0" fontId="25" numFmtId="0" xfId="0" applyAlignment="1" applyFont="1">
      <alignment readingOrder="0"/>
    </xf>
    <xf borderId="0" fillId="0" fontId="17" numFmtId="0" xfId="0" applyAlignment="1" applyFont="1">
      <alignment horizontal="right"/>
    </xf>
    <xf borderId="0" fillId="0" fontId="25" numFmtId="0" xfId="0" applyAlignment="1" applyFont="1">
      <alignment horizontal="right"/>
    </xf>
    <xf borderId="0" fillId="0" fontId="25" numFmtId="10" xfId="0" applyAlignment="1" applyFont="1" applyNumberFormat="1">
      <alignment horizontal="center"/>
    </xf>
    <xf borderId="0" fillId="0" fontId="25" numFmtId="0" xfId="0" applyAlignment="1" applyFont="1">
      <alignment horizontal="left" readingOrder="0"/>
    </xf>
    <xf borderId="0" fillId="0" fontId="25" numFmtId="10" xfId="0" applyAlignment="1" applyFont="1" applyNumberFormat="1">
      <alignment horizontal="center" vertical="center"/>
    </xf>
    <xf borderId="0" fillId="0" fontId="39" numFmtId="0" xfId="0" applyAlignment="1" applyFont="1">
      <alignment horizontal="left" readingOrder="0" vertical="center"/>
    </xf>
    <xf quotePrefix="1" borderId="0" fillId="0" fontId="25" numFmtId="0" xfId="0" applyAlignment="1" applyFont="1">
      <alignment readingOrder="0" vertical="center"/>
    </xf>
    <xf borderId="0" fillId="0" fontId="24" numFmtId="0" xfId="0" applyAlignment="1" applyFont="1">
      <alignment horizontal="left" readingOrder="0" vertical="center"/>
    </xf>
    <xf borderId="0" fillId="0" fontId="40" numFmtId="0" xfId="0" applyAlignment="1" applyFont="1">
      <alignment horizontal="center" readingOrder="0"/>
    </xf>
    <xf borderId="0" fillId="0" fontId="41" numFmtId="0" xfId="0" applyAlignment="1" applyFont="1">
      <alignment readingOrder="0"/>
    </xf>
    <xf borderId="0" fillId="0" fontId="21" numFmtId="0" xfId="0" applyAlignment="1" applyFont="1">
      <alignment horizontal="right" readingOrder="0"/>
    </xf>
    <xf borderId="0" fillId="0" fontId="24" numFmtId="0" xfId="0" applyAlignment="1" applyFont="1">
      <alignment horizontal="right" readingOrder="0"/>
    </xf>
    <xf borderId="0" fillId="0" fontId="24" numFmtId="0" xfId="0" applyAlignment="1" applyFont="1">
      <alignment horizontal="center" vertical="center"/>
    </xf>
    <xf borderId="0" fillId="0" fontId="1" numFmtId="10" xfId="0" applyAlignment="1" applyFont="1" applyNumberFormat="1">
      <alignment vertical="center"/>
    </xf>
    <xf borderId="0" fillId="0" fontId="41" numFmtId="0" xfId="0" applyFont="1"/>
    <xf borderId="0" fillId="0" fontId="41" numFmtId="0" xfId="0" applyAlignment="1" applyFont="1">
      <alignment horizontal="right" readingOrder="0"/>
    </xf>
    <xf borderId="0" fillId="0" fontId="41" numFmtId="0" xfId="0" applyAlignment="1" applyFont="1">
      <alignment horizontal="center"/>
    </xf>
    <xf borderId="0" fillId="0" fontId="27" numFmtId="0" xfId="0" applyAlignment="1" applyFont="1">
      <alignment readingOrder="0"/>
    </xf>
    <xf borderId="0" fillId="0" fontId="35" numFmtId="0" xfId="0" applyFont="1"/>
    <xf borderId="0" fillId="0" fontId="19" numFmtId="0" xfId="0" applyAlignment="1" applyFont="1">
      <alignment horizontal="right" vertical="bottom"/>
    </xf>
    <xf borderId="0" fillId="0" fontId="16" numFmtId="0" xfId="0" applyAlignment="1" applyFont="1">
      <alignment horizontal="right"/>
    </xf>
    <xf borderId="0" fillId="0" fontId="23" numFmtId="0" xfId="0" applyAlignment="1" applyFont="1">
      <alignment horizontal="center" vertical="center"/>
    </xf>
    <xf borderId="0" fillId="0" fontId="19" numFmtId="2" xfId="0" applyAlignment="1" applyFont="1" applyNumberFormat="1">
      <alignment horizontal="center" vertical="center"/>
    </xf>
    <xf borderId="13" fillId="10" fontId="1" numFmtId="0" xfId="0" applyAlignment="1" applyBorder="1" applyFont="1">
      <alignment vertical="bottom"/>
    </xf>
    <xf borderId="14" fillId="10" fontId="1" numFmtId="0" xfId="0" applyAlignment="1" applyBorder="1" applyFont="1">
      <alignment vertical="bottom"/>
    </xf>
    <xf borderId="14" fillId="10" fontId="1" numFmtId="2" xfId="0" applyAlignment="1" applyBorder="1" applyFont="1" applyNumberFormat="1">
      <alignment vertical="bottom"/>
    </xf>
    <xf borderId="14" fillId="10" fontId="1" numFmtId="166" xfId="0" applyAlignment="1" applyBorder="1" applyFont="1" applyNumberFormat="1">
      <alignment vertical="bottom"/>
    </xf>
    <xf borderId="15" fillId="10" fontId="1" numFmtId="166" xfId="0" applyAlignment="1" applyBorder="1" applyFont="1" applyNumberFormat="1">
      <alignment vertical="bottom"/>
    </xf>
    <xf borderId="15" fillId="4" fontId="19" numFmtId="0" xfId="0" applyBorder="1" applyFont="1"/>
    <xf borderId="0" fillId="0" fontId="25" numFmtId="0" xfId="0" applyAlignment="1" applyFont="1">
      <alignment horizontal="center" vertical="center"/>
    </xf>
    <xf borderId="0" fillId="10" fontId="19" numFmtId="2" xfId="0" applyAlignment="1" applyFont="1" applyNumberFormat="1">
      <alignment horizontal="center" vertical="bottom"/>
    </xf>
    <xf borderId="0" fillId="10" fontId="19" numFmtId="165" xfId="0" applyAlignment="1" applyFont="1" applyNumberFormat="1">
      <alignment horizontal="center" vertical="bottom"/>
    </xf>
    <xf borderId="12" fillId="10" fontId="19" numFmtId="166" xfId="0" applyAlignment="1" applyBorder="1" applyFont="1" applyNumberFormat="1">
      <alignment horizontal="center" vertical="bottom"/>
    </xf>
    <xf borderId="11" fillId="10" fontId="19" numFmtId="0" xfId="0" applyAlignment="1" applyBorder="1" applyFont="1">
      <alignment horizontal="center" readingOrder="0"/>
    </xf>
    <xf borderId="0" fillId="10" fontId="19" numFmtId="0" xfId="0" applyAlignment="1" applyFont="1">
      <alignment horizontal="center"/>
    </xf>
    <xf borderId="0" fillId="10" fontId="19" numFmtId="166" xfId="0" applyAlignment="1" applyFont="1" applyNumberFormat="1">
      <alignment horizontal="center"/>
    </xf>
    <xf borderId="12" fillId="10" fontId="19" numFmtId="166" xfId="0" applyAlignment="1" applyBorder="1" applyFont="1" applyNumberFormat="1">
      <alignment horizontal="center"/>
    </xf>
    <xf borderId="14" fillId="4" fontId="19" numFmtId="0" xfId="0" applyAlignment="1" applyBorder="1" applyFont="1">
      <alignment horizontal="right" readingOrder="0"/>
    </xf>
    <xf borderId="16" fillId="0" fontId="16" numFmtId="0" xfId="0" applyBorder="1" applyFont="1"/>
    <xf borderId="5" fillId="0" fontId="16" numFmtId="0" xfId="0" applyBorder="1" applyFont="1"/>
    <xf borderId="7" fillId="0" fontId="16" numFmtId="0" xfId="0" applyBorder="1" applyFont="1"/>
    <xf borderId="7" fillId="0" fontId="19" numFmtId="2" xfId="0" applyAlignment="1" applyBorder="1" applyFont="1" applyNumberFormat="1">
      <alignment horizontal="center" readingOrder="0"/>
    </xf>
    <xf borderId="7" fillId="0" fontId="19" numFmtId="0" xfId="0" applyAlignment="1" applyBorder="1" applyFont="1">
      <alignment horizontal="center" readingOrder="0"/>
    </xf>
    <xf borderId="7" fillId="4" fontId="1" numFmtId="2" xfId="0" applyAlignment="1" applyBorder="1" applyFont="1" applyNumberFormat="1">
      <alignment horizontal="center"/>
    </xf>
    <xf borderId="0" fillId="10" fontId="19" numFmtId="0" xfId="0" applyAlignment="1" applyFont="1">
      <alignment horizontal="center" readingOrder="0"/>
    </xf>
    <xf borderId="0" fillId="0" fontId="19" numFmtId="166" xfId="0" applyAlignment="1" applyFont="1" applyNumberFormat="1">
      <alignment horizontal="center" shrinkToFit="0" wrapText="1"/>
    </xf>
    <xf borderId="0" fillId="10" fontId="19" numFmtId="164" xfId="0" applyAlignment="1" applyFont="1" applyNumberFormat="1">
      <alignment horizontal="center" readingOrder="0"/>
    </xf>
    <xf borderId="11" fillId="10" fontId="16" numFmtId="0" xfId="0" applyBorder="1" applyFont="1"/>
    <xf borderId="0" fillId="10" fontId="16" numFmtId="0" xfId="0" applyFont="1"/>
    <xf borderId="12" fillId="0" fontId="16" numFmtId="0" xfId="0" applyBorder="1" applyFont="1"/>
    <xf borderId="0" fillId="10" fontId="19" numFmtId="165" xfId="0" applyAlignment="1" applyFont="1" applyNumberFormat="1">
      <alignment horizontal="center" readingOrder="0"/>
    </xf>
    <xf borderId="0" fillId="10" fontId="19" numFmtId="2" xfId="0" applyAlignment="1" applyFont="1" applyNumberFormat="1">
      <alignment horizontal="center" readingOrder="0"/>
    </xf>
    <xf borderId="12" fillId="10" fontId="19" numFmtId="166" xfId="0" applyAlignment="1" applyBorder="1" applyFont="1" applyNumberFormat="1">
      <alignment horizontal="center" readingOrder="0"/>
    </xf>
    <xf borderId="0" fillId="0" fontId="24" numFmtId="0" xfId="0" applyAlignment="1" applyFont="1">
      <alignment horizontal="right"/>
    </xf>
    <xf borderId="0" fillId="4" fontId="20" numFmtId="0" xfId="0" applyAlignment="1" applyFont="1">
      <alignment readingOrder="0"/>
    </xf>
    <xf borderId="0" fillId="4" fontId="22" numFmtId="0" xfId="0" applyFont="1"/>
    <xf borderId="0" fillId="4" fontId="26" numFmtId="0" xfId="0" applyFont="1"/>
    <xf borderId="0" fillId="4" fontId="19" numFmtId="0" xfId="0" applyAlignment="1" applyFont="1">
      <alignment readingOrder="0" vertical="bottom"/>
    </xf>
    <xf borderId="0" fillId="4" fontId="26" numFmtId="0" xfId="0" applyAlignment="1" applyFont="1">
      <alignment readingOrder="0"/>
    </xf>
    <xf borderId="0" fillId="4" fontId="19" numFmtId="0" xfId="0" applyAlignment="1" applyFont="1">
      <alignment vertical="bottom"/>
    </xf>
    <xf borderId="0" fillId="4" fontId="19" numFmtId="0" xfId="0" applyAlignment="1" applyFont="1">
      <alignment horizontal="center" readingOrder="0"/>
    </xf>
    <xf borderId="0" fillId="4" fontId="16" numFmtId="0" xfId="0" applyFont="1"/>
    <xf borderId="0" fillId="4" fontId="26" numFmtId="0" xfId="0" applyAlignment="1" applyFont="1">
      <alignment horizontal="right" readingOrder="0"/>
    </xf>
    <xf borderId="0" fillId="4" fontId="26" numFmtId="1" xfId="0" applyAlignment="1" applyFont="1" applyNumberFormat="1">
      <alignment horizontal="center"/>
    </xf>
    <xf borderId="8" fillId="0" fontId="22" numFmtId="0" xfId="0" applyAlignment="1" applyBorder="1" applyFont="1">
      <alignment horizontal="left" readingOrder="0" shrinkToFit="0" wrapText="1"/>
    </xf>
    <xf borderId="9" fillId="0" fontId="6" numFmtId="0" xfId="0" applyBorder="1" applyFont="1"/>
    <xf borderId="9" fillId="0" fontId="42" numFmtId="0" xfId="0" applyAlignment="1" applyBorder="1" applyFont="1">
      <alignment horizontal="left" readingOrder="0" shrinkToFit="0" wrapText="1"/>
    </xf>
    <xf borderId="9" fillId="0" fontId="22" numFmtId="0" xfId="0" applyAlignment="1" applyBorder="1" applyFont="1">
      <alignment horizontal="center" readingOrder="0" shrinkToFit="0" wrapText="1"/>
    </xf>
    <xf borderId="9" fillId="0" fontId="33" numFmtId="0" xfId="0" applyAlignment="1" applyBorder="1" applyFont="1">
      <alignment horizontal="center" readingOrder="0"/>
    </xf>
    <xf borderId="9" fillId="0" fontId="33" numFmtId="0" xfId="0" applyAlignment="1" applyBorder="1" applyFont="1">
      <alignment horizontal="center" readingOrder="0" shrinkToFit="0" wrapText="1"/>
    </xf>
    <xf borderId="10" fillId="0" fontId="33" numFmtId="0" xfId="0" applyAlignment="1" applyBorder="1" applyFont="1">
      <alignment horizontal="center" readingOrder="0"/>
    </xf>
    <xf borderId="11" fillId="0" fontId="22" numFmtId="0" xfId="0" applyAlignment="1" applyBorder="1" applyFont="1">
      <alignment horizontal="center" readingOrder="0"/>
    </xf>
    <xf quotePrefix="1" borderId="0" fillId="0" fontId="22" numFmtId="0" xfId="0" applyAlignment="1" applyFont="1">
      <alignment horizontal="center" readingOrder="0"/>
    </xf>
    <xf borderId="0" fillId="0" fontId="26" numFmtId="0" xfId="0" applyAlignment="1" applyFont="1">
      <alignment horizontal="center" readingOrder="0"/>
    </xf>
    <xf borderId="12" fillId="0" fontId="33" numFmtId="0" xfId="0" applyAlignment="1" applyBorder="1" applyFont="1">
      <alignment horizontal="center"/>
    </xf>
    <xf borderId="14" fillId="0" fontId="33" numFmtId="0" xfId="0" applyAlignment="1" applyBorder="1" applyFont="1">
      <alignment horizontal="center"/>
    </xf>
    <xf borderId="14" fillId="0" fontId="16" numFmtId="0" xfId="0" applyBorder="1" applyFont="1"/>
    <xf borderId="14" fillId="0" fontId="19" numFmtId="0" xfId="0" applyAlignment="1" applyBorder="1" applyFont="1">
      <alignment horizontal="center" readingOrder="0" vertical="bottom"/>
    </xf>
    <xf borderId="14" fillId="0" fontId="19" numFmtId="0" xfId="0" applyAlignment="1" applyBorder="1" applyFont="1">
      <alignment horizontal="center" readingOrder="0" shrinkToFit="0" wrapText="1"/>
    </xf>
    <xf borderId="14" fillId="0" fontId="19" numFmtId="0" xfId="0" applyAlignment="1" applyBorder="1" applyFont="1">
      <alignment horizontal="center" readingOrder="0" shrinkToFit="0" vertical="bottom" wrapText="1"/>
    </xf>
    <xf borderId="14" fillId="0" fontId="19" numFmtId="0" xfId="0" applyAlignment="1" applyBorder="1" applyFont="1">
      <alignment horizontal="center" readingOrder="0"/>
    </xf>
    <xf borderId="14" fillId="0" fontId="19" numFmtId="0" xfId="0" applyAlignment="1" applyBorder="1" applyFont="1">
      <alignment horizontal="center" vertical="bottom"/>
    </xf>
    <xf borderId="14" fillId="0" fontId="19" numFmtId="0" xfId="0" applyAlignment="1" applyBorder="1" applyFont="1">
      <alignment vertical="bottom"/>
    </xf>
    <xf borderId="15" fillId="0" fontId="19" numFmtId="0" xfId="0" applyAlignment="1" applyBorder="1" applyFont="1">
      <alignment horizontal="center" vertical="bottom"/>
    </xf>
    <xf borderId="11" fillId="10" fontId="19" numFmtId="10" xfId="0" applyAlignment="1" applyBorder="1" applyFont="1" applyNumberFormat="1">
      <alignment horizontal="center"/>
    </xf>
    <xf borderId="0" fillId="4" fontId="19" numFmtId="165" xfId="0" applyAlignment="1" applyFont="1" applyNumberFormat="1">
      <alignment horizontal="center"/>
    </xf>
    <xf borderId="12" fillId="10" fontId="19" numFmtId="2" xfId="0" applyAlignment="1" applyBorder="1" applyFont="1" applyNumberFormat="1">
      <alignment horizontal="center"/>
    </xf>
    <xf borderId="0" fillId="0" fontId="16" numFmtId="165" xfId="0" applyAlignment="1" applyFont="1" applyNumberFormat="1">
      <alignment horizontal="center"/>
    </xf>
    <xf borderId="0" fillId="0" fontId="19" numFmtId="0" xfId="0" applyAlignment="1" applyFont="1">
      <alignment horizontal="center"/>
    </xf>
    <xf borderId="0" fillId="4" fontId="19" numFmtId="2" xfId="0" applyAlignment="1" applyFont="1" applyNumberFormat="1">
      <alignment horizontal="center"/>
    </xf>
    <xf borderId="0" fillId="0" fontId="26" numFmtId="166" xfId="0" applyAlignment="1" applyFont="1" applyNumberFormat="1">
      <alignment horizontal="center"/>
    </xf>
    <xf borderId="0" fillId="0" fontId="19" numFmtId="167" xfId="0" applyAlignment="1" applyFont="1" applyNumberFormat="1">
      <alignment horizontal="center"/>
    </xf>
    <xf borderId="0" fillId="0" fontId="19" numFmtId="3" xfId="0" applyAlignment="1" applyFont="1" applyNumberFormat="1">
      <alignment horizontal="center"/>
    </xf>
    <xf borderId="0" fillId="0" fontId="19" numFmtId="2" xfId="0" applyAlignment="1" applyFont="1" applyNumberFormat="1">
      <alignment horizontal="center"/>
    </xf>
    <xf borderId="12" fillId="0" fontId="19" numFmtId="3" xfId="0" applyAlignment="1" applyBorder="1" applyFont="1" applyNumberFormat="1">
      <alignment horizontal="center"/>
    </xf>
    <xf borderId="0" fillId="0" fontId="26" numFmtId="2" xfId="0" applyFont="1" applyNumberFormat="1"/>
    <xf borderId="0" fillId="4" fontId="26" numFmtId="9" xfId="0" applyAlignment="1" applyFont="1" applyNumberFormat="1">
      <alignment readingOrder="0"/>
    </xf>
    <xf borderId="0" fillId="0" fontId="26" numFmtId="9" xfId="0" applyFont="1" applyNumberFormat="1"/>
    <xf borderId="0" fillId="0" fontId="16" numFmtId="1" xfId="0" applyFont="1" applyNumberFormat="1"/>
    <xf borderId="0" fillId="0" fontId="16" numFmtId="165" xfId="0" applyFont="1" applyNumberFormat="1"/>
    <xf borderId="12" fillId="10" fontId="19" numFmtId="2" xfId="0" applyAlignment="1" applyBorder="1" applyFont="1" applyNumberFormat="1">
      <alignment horizontal="center" readingOrder="0"/>
    </xf>
    <xf borderId="0" fillId="4" fontId="26" numFmtId="9" xfId="0" applyFont="1" applyNumberFormat="1"/>
    <xf borderId="0" fillId="0" fontId="16" numFmtId="9" xfId="0" applyFont="1" applyNumberFormat="1"/>
    <xf borderId="11" fillId="10" fontId="19" numFmtId="166" xfId="0" applyAlignment="1" applyBorder="1" applyFont="1" applyNumberFormat="1">
      <alignment horizontal="center"/>
    </xf>
    <xf borderId="0" fillId="10" fontId="19" numFmtId="0" xfId="0" applyAlignment="1" applyFont="1">
      <alignment horizontal="center"/>
    </xf>
    <xf borderId="11" fillId="10" fontId="19" numFmtId="166" xfId="0" applyAlignment="1" applyBorder="1" applyFont="1" applyNumberFormat="1">
      <alignment horizontal="center" readingOrder="0"/>
    </xf>
    <xf borderId="0" fillId="0" fontId="16" numFmtId="166" xfId="0" applyAlignment="1" applyFont="1" applyNumberFormat="1">
      <alignment horizontal="center"/>
    </xf>
    <xf borderId="12" fillId="0" fontId="26" numFmtId="3" xfId="0" applyAlignment="1" applyBorder="1" applyFont="1" applyNumberFormat="1">
      <alignment horizontal="center"/>
    </xf>
    <xf borderId="14" fillId="4" fontId="19" numFmtId="165" xfId="0" applyAlignment="1" applyBorder="1" applyFont="1" applyNumberFormat="1">
      <alignment horizontal="center"/>
    </xf>
    <xf borderId="15" fillId="10" fontId="19" numFmtId="0" xfId="0" applyAlignment="1" applyBorder="1" applyFont="1">
      <alignment horizontal="center"/>
    </xf>
    <xf borderId="13" fillId="0" fontId="19" numFmtId="2" xfId="0" applyAlignment="1" applyBorder="1" applyFont="1" applyNumberFormat="1">
      <alignment horizontal="center"/>
    </xf>
    <xf borderId="14" fillId="0" fontId="19" numFmtId="165" xfId="0" applyAlignment="1" applyBorder="1" applyFont="1" applyNumberFormat="1">
      <alignment horizontal="center"/>
    </xf>
    <xf borderId="14" fillId="0" fontId="19" numFmtId="2" xfId="0" applyAlignment="1" applyBorder="1" applyFont="1" applyNumberFormat="1">
      <alignment horizontal="center"/>
    </xf>
    <xf borderId="17" fillId="0" fontId="26" numFmtId="0" xfId="0" applyBorder="1" applyFont="1"/>
    <xf borderId="18" fillId="0" fontId="26" numFmtId="0" xfId="0" applyBorder="1" applyFont="1"/>
    <xf borderId="18" fillId="0" fontId="26" numFmtId="0" xfId="0" applyAlignment="1" applyBorder="1" applyFont="1">
      <alignment horizontal="center"/>
    </xf>
    <xf borderId="18" fillId="0" fontId="16" numFmtId="0" xfId="0" applyBorder="1" applyFont="1"/>
    <xf borderId="18" fillId="0" fontId="19" numFmtId="3" xfId="0" applyAlignment="1" applyBorder="1" applyFont="1" applyNumberFormat="1">
      <alignment horizontal="center"/>
    </xf>
    <xf borderId="18" fillId="0" fontId="19" numFmtId="0" xfId="0" applyAlignment="1" applyBorder="1" applyFont="1">
      <alignment readingOrder="0"/>
    </xf>
    <xf borderId="19" fillId="0" fontId="19" numFmtId="3" xfId="0" applyAlignment="1" applyBorder="1" applyFont="1" applyNumberFormat="1">
      <alignment horizontal="center"/>
    </xf>
    <xf borderId="0" fillId="0" fontId="26" numFmtId="1" xfId="0" applyFont="1" applyNumberFormat="1"/>
    <xf borderId="0" fillId="0" fontId="26" numFmtId="165" xfId="0" applyFont="1" applyNumberFormat="1"/>
    <xf borderId="0" fillId="0" fontId="20" numFmtId="166" xfId="0" applyAlignment="1" applyFont="1" applyNumberFormat="1">
      <alignment horizontal="center"/>
    </xf>
    <xf borderId="0" fillId="0" fontId="26" numFmtId="3" xfId="0" applyAlignment="1" applyFont="1" applyNumberFormat="1">
      <alignment horizontal="center"/>
    </xf>
    <xf borderId="0" fillId="0" fontId="1" numFmtId="0" xfId="0" applyAlignment="1" applyFont="1">
      <alignment vertical="bottom"/>
    </xf>
    <xf borderId="0" fillId="0" fontId="1" numFmtId="1" xfId="0" applyAlignment="1" applyFont="1" applyNumberFormat="1">
      <alignment horizontal="right" vertical="bottom"/>
    </xf>
    <xf borderId="0" fillId="0" fontId="1" numFmtId="2" xfId="0" applyAlignment="1" applyFont="1" applyNumberFormat="1">
      <alignment horizontal="right" vertical="bottom"/>
    </xf>
    <xf borderId="0" fillId="0" fontId="1" numFmtId="0" xfId="0" applyAlignment="1" applyFont="1">
      <alignment horizontal="right" vertical="bottom"/>
    </xf>
    <xf borderId="0" fillId="0" fontId="43" numFmtId="0" xfId="0" applyAlignment="1" applyFont="1">
      <alignment readingOrder="0"/>
    </xf>
    <xf borderId="0" fillId="0" fontId="44" numFmtId="0" xfId="0" applyFont="1"/>
    <xf borderId="0" fillId="0" fontId="45" numFmtId="2" xfId="0" applyAlignment="1" applyFont="1" applyNumberFormat="1">
      <alignment horizontal="center"/>
    </xf>
    <xf borderId="0" fillId="0" fontId="44" numFmtId="0" xfId="0" applyAlignment="1" applyFont="1">
      <alignment horizontal="center"/>
    </xf>
    <xf borderId="0" fillId="0" fontId="26" numFmtId="165" xfId="0" applyAlignment="1" applyFont="1" applyNumberFormat="1">
      <alignment readingOrder="0"/>
    </xf>
    <xf borderId="0" fillId="0" fontId="19" numFmtId="168" xfId="0" applyAlignment="1" applyFont="1" applyNumberFormat="1">
      <alignment horizontal="center"/>
    </xf>
    <xf borderId="0" fillId="0" fontId="46" numFmtId="0" xfId="0" applyAlignment="1" applyFont="1">
      <alignment readingOrder="0"/>
    </xf>
    <xf borderId="20" fillId="0" fontId="33" numFmtId="0" xfId="0" applyAlignment="1" applyBorder="1" applyFont="1">
      <alignment horizontal="center" readingOrder="0"/>
    </xf>
    <xf borderId="10" fillId="0" fontId="22" numFmtId="0" xfId="0" applyAlignment="1" applyBorder="1" applyFont="1">
      <alignment horizontal="center"/>
    </xf>
    <xf borderId="21" fillId="0" fontId="33" numFmtId="0" xfId="0" applyAlignment="1" applyBorder="1" applyFont="1">
      <alignment horizontal="center" readingOrder="0"/>
    </xf>
    <xf borderId="12" fillId="0" fontId="22" numFmtId="0" xfId="0" applyAlignment="1" applyBorder="1" applyFont="1">
      <alignment horizontal="center"/>
    </xf>
    <xf borderId="0" fillId="0" fontId="16" numFmtId="0" xfId="0" applyFont="1"/>
    <xf borderId="0" fillId="0" fontId="33" numFmtId="4" xfId="0" applyAlignment="1" applyFont="1" applyNumberFormat="1">
      <alignment horizontal="center"/>
    </xf>
    <xf borderId="22" fillId="0" fontId="26" numFmtId="0" xfId="0" applyAlignment="1" applyBorder="1" applyFont="1">
      <alignment horizontal="center" readingOrder="0" shrinkToFit="0" wrapText="1"/>
    </xf>
    <xf borderId="13" fillId="0" fontId="23" numFmtId="0" xfId="0" applyAlignment="1" applyBorder="1" applyFont="1">
      <alignment horizontal="center" readingOrder="0" shrinkToFit="0" vertical="bottom" wrapText="0"/>
    </xf>
    <xf borderId="14" fillId="0" fontId="23" numFmtId="0" xfId="0" applyAlignment="1" applyBorder="1" applyFont="1">
      <alignment horizontal="center" readingOrder="0" shrinkToFit="0" vertical="bottom" wrapText="1"/>
    </xf>
    <xf borderId="14" fillId="0" fontId="23" numFmtId="4" xfId="0" applyAlignment="1" applyBorder="1" applyFont="1" applyNumberFormat="1">
      <alignment horizontal="center" readingOrder="0" shrinkToFit="0" vertical="bottom" wrapText="1"/>
    </xf>
    <xf borderId="14" fillId="0" fontId="23" numFmtId="0" xfId="0" applyAlignment="1" applyBorder="1" applyFont="1">
      <alignment horizontal="center" readingOrder="0" shrinkToFit="0" vertical="bottom" wrapText="0"/>
    </xf>
    <xf borderId="14" fillId="0" fontId="26" numFmtId="0" xfId="0" applyAlignment="1" applyBorder="1" applyFont="1">
      <alignment horizontal="center" readingOrder="0" shrinkToFit="0" wrapText="1"/>
    </xf>
    <xf borderId="21" fillId="0" fontId="16" numFmtId="1" xfId="0" applyAlignment="1" applyBorder="1" applyFont="1" applyNumberFormat="1">
      <alignment horizontal="center"/>
    </xf>
    <xf borderId="11" fillId="0" fontId="19" numFmtId="2" xfId="0" applyAlignment="1" applyBorder="1" applyFont="1" applyNumberFormat="1">
      <alignment horizontal="center"/>
    </xf>
    <xf borderId="0" fillId="0" fontId="19" numFmtId="10" xfId="0" applyAlignment="1" applyFont="1" applyNumberFormat="1">
      <alignment horizontal="center"/>
    </xf>
    <xf borderId="0" fillId="0" fontId="19" numFmtId="1" xfId="0" applyAlignment="1" applyFont="1" applyNumberFormat="1">
      <alignment horizontal="center"/>
    </xf>
    <xf borderId="12" fillId="0" fontId="19" numFmtId="0" xfId="0" applyAlignment="1" applyBorder="1" applyFont="1">
      <alignment horizontal="center"/>
    </xf>
    <xf borderId="0" fillId="0" fontId="19" numFmtId="0" xfId="0" applyAlignment="1" applyFont="1">
      <alignment horizontal="center"/>
    </xf>
    <xf borderId="11" fillId="0" fontId="19" numFmtId="9" xfId="0" applyAlignment="1" applyBorder="1" applyFont="1" applyNumberFormat="1">
      <alignment horizontal="center" readingOrder="0"/>
    </xf>
    <xf borderId="0" fillId="0" fontId="16" numFmtId="166" xfId="0" applyAlignment="1" applyFont="1" applyNumberFormat="1">
      <alignment readingOrder="0"/>
    </xf>
    <xf borderId="0" fillId="0" fontId="16" numFmtId="2" xfId="0" applyFont="1" applyNumberFormat="1"/>
    <xf borderId="11" fillId="0" fontId="19" numFmtId="9" xfId="0" applyAlignment="1" applyBorder="1" applyFont="1" applyNumberFormat="1">
      <alignment horizontal="center"/>
    </xf>
    <xf borderId="21" fillId="0" fontId="16" numFmtId="0" xfId="0" applyBorder="1" applyFont="1"/>
    <xf borderId="0" fillId="0" fontId="26" numFmtId="1" xfId="0" applyAlignment="1" applyFont="1" applyNumberFormat="1">
      <alignment horizontal="center"/>
    </xf>
    <xf borderId="14" fillId="0" fontId="26" numFmtId="1" xfId="0" applyAlignment="1" applyBorder="1" applyFont="1" applyNumberFormat="1">
      <alignment horizontal="center"/>
    </xf>
    <xf borderId="13" fillId="0" fontId="19" numFmtId="9" xfId="0" applyAlignment="1" applyBorder="1" applyFont="1" applyNumberFormat="1">
      <alignment horizontal="center"/>
    </xf>
    <xf borderId="23" fillId="0" fontId="16" numFmtId="0" xfId="0" applyBorder="1" applyFont="1"/>
    <xf borderId="13" fillId="0" fontId="26" numFmtId="0" xfId="0" applyBorder="1" applyFont="1"/>
    <xf borderId="14" fillId="0" fontId="19" numFmtId="2" xfId="0" applyBorder="1" applyFont="1" applyNumberFormat="1"/>
    <xf borderId="14" fillId="0" fontId="19" numFmtId="0" xfId="0" applyAlignment="1" applyBorder="1" applyFont="1">
      <alignment readingOrder="0"/>
    </xf>
    <xf borderId="13" fillId="0" fontId="26" numFmtId="9" xfId="0" applyAlignment="1" applyBorder="1" applyFont="1" applyNumberFormat="1">
      <alignment horizontal="center"/>
    </xf>
    <xf borderId="14" fillId="0" fontId="19" numFmtId="1" xfId="0" applyAlignment="1" applyBorder="1" applyFont="1" applyNumberFormat="1">
      <alignment horizontal="center"/>
    </xf>
    <xf borderId="14" fillId="0" fontId="19" numFmtId="9" xfId="0" applyAlignment="1" applyBorder="1" applyFont="1" applyNumberFormat="1">
      <alignment horizontal="center" readingOrder="0"/>
    </xf>
    <xf borderId="0" fillId="0" fontId="19" numFmtId="169" xfId="0" applyAlignment="1" applyFont="1" applyNumberFormat="1">
      <alignment horizontal="center"/>
    </xf>
    <xf borderId="0" fillId="0" fontId="19" numFmtId="166" xfId="0" applyAlignment="1" applyFont="1" applyNumberFormat="1">
      <alignment horizontal="center" vertical="bottom"/>
    </xf>
    <xf borderId="0" fillId="0" fontId="26" numFmtId="166" xfId="0" applyAlignment="1" applyFont="1" applyNumberFormat="1">
      <alignment horizontal="center" readingOrder="0"/>
    </xf>
    <xf borderId="0" fillId="0" fontId="19" numFmtId="0" xfId="0" applyAlignment="1" applyFont="1">
      <alignment readingOrder="0" vertical="bottom"/>
    </xf>
    <xf borderId="0" fillId="0" fontId="26" numFmtId="1" xfId="0" applyAlignment="1" applyFont="1" applyNumberFormat="1">
      <alignment horizontal="center" readingOrder="0"/>
    </xf>
    <xf borderId="0" fillId="0" fontId="26" numFmtId="2" xfId="0" applyAlignment="1" applyFont="1" applyNumberFormat="1">
      <alignment horizontal="center" readingOrder="0"/>
    </xf>
    <xf borderId="0" fillId="0" fontId="16" numFmtId="166" xfId="0" applyFont="1" applyNumberFormat="1"/>
    <xf borderId="0" fillId="0" fontId="19" numFmtId="2" xfId="0" applyFont="1" applyNumberFormat="1"/>
    <xf borderId="0" fillId="0" fontId="22" numFmtId="170" xfId="0" applyAlignment="1" applyFont="1" applyNumberFormat="1">
      <alignment horizontal="left" vertical="bottom"/>
    </xf>
    <xf borderId="0" fillId="0" fontId="33" numFmtId="0" xfId="0" applyAlignment="1" applyFont="1">
      <alignment horizontal="right"/>
    </xf>
    <xf borderId="0" fillId="0" fontId="33" numFmtId="0" xfId="0" applyAlignment="1" applyFont="1">
      <alignment horizontal="left" readingOrder="0"/>
    </xf>
    <xf borderId="0" fillId="0" fontId="19" numFmtId="170" xfId="0" applyAlignment="1" applyFont="1" applyNumberFormat="1">
      <alignment horizontal="center" vertical="bottom"/>
    </xf>
    <xf borderId="0" fillId="0" fontId="19" numFmtId="170" xfId="0" applyAlignment="1" applyFont="1" applyNumberFormat="1">
      <alignment horizontal="right" vertical="bottom"/>
    </xf>
    <xf borderId="0" fillId="0" fontId="26" numFmtId="0" xfId="0" applyAlignment="1" applyFont="1">
      <alignment horizontal="right" readingOrder="0" shrinkToFit="0" wrapText="0"/>
    </xf>
    <xf borderId="0" fillId="0" fontId="19" numFmtId="10" xfId="0" applyAlignment="1" applyFont="1" applyNumberFormat="1">
      <alignment horizontal="center" readingOrder="0"/>
    </xf>
    <xf borderId="0" fillId="0" fontId="19" numFmtId="168" xfId="0" applyAlignment="1" applyFont="1" applyNumberFormat="1">
      <alignment horizontal="center" readingOrder="0"/>
    </xf>
    <xf borderId="0" fillId="0" fontId="19" numFmtId="0" xfId="0" applyAlignment="1" applyFont="1">
      <alignment horizontal="right" readingOrder="0" shrinkToFit="0" wrapText="0"/>
    </xf>
    <xf borderId="0" fillId="0" fontId="0" numFmtId="0" xfId="0" applyAlignment="1" applyFont="1">
      <alignment readingOrder="0"/>
    </xf>
    <xf borderId="0" fillId="0" fontId="47" numFmtId="0" xfId="0" applyAlignment="1" applyFont="1">
      <alignment horizontal="left" readingOrder="0"/>
    </xf>
    <xf borderId="0" fillId="0" fontId="48" numFmtId="0" xfId="0" applyAlignment="1" applyFont="1">
      <alignment horizontal="center" readingOrder="0"/>
    </xf>
    <xf borderId="0" fillId="0" fontId="19" numFmtId="0" xfId="0" applyAlignment="1" applyFont="1">
      <alignment horizontal="right" readingOrder="0" shrinkToFit="0" wrapText="1"/>
    </xf>
    <xf borderId="0" fillId="0" fontId="26" numFmtId="166" xfId="0" applyFont="1" applyNumberFormat="1"/>
    <xf borderId="0" fillId="0" fontId="26" numFmtId="166" xfId="0" applyAlignment="1" applyFont="1" applyNumberFormat="1">
      <alignment horizontal="left"/>
    </xf>
    <xf borderId="0" fillId="0" fontId="19" numFmtId="166" xfId="0" applyAlignment="1" applyFont="1" applyNumberFormat="1">
      <alignment horizontal="center" readingOrder="0"/>
    </xf>
    <xf borderId="0" fillId="0" fontId="19" numFmtId="2" xfId="0" applyAlignment="1" applyFont="1" applyNumberFormat="1">
      <alignment readingOrder="0"/>
    </xf>
    <xf borderId="0" fillId="0" fontId="26" numFmtId="0" xfId="0" applyAlignment="1" applyFont="1">
      <alignment horizontal="right" shrinkToFit="0" wrapText="1"/>
    </xf>
    <xf borderId="0" fillId="0" fontId="26" numFmtId="168" xfId="0" applyAlignment="1" applyFont="1" applyNumberFormat="1">
      <alignment horizontal="center"/>
    </xf>
    <xf borderId="0" fillId="0" fontId="26" numFmtId="0" xfId="0" applyAlignment="1" applyFont="1">
      <alignment horizontal="left" readingOrder="0" shrinkToFit="0" wrapText="0"/>
    </xf>
    <xf borderId="0" fillId="0" fontId="19" numFmtId="165" xfId="0" applyAlignment="1" applyFont="1" applyNumberFormat="1">
      <alignment horizontal="center"/>
    </xf>
    <xf borderId="0" fillId="0" fontId="19" numFmtId="171" xfId="0" applyAlignment="1" applyFont="1" applyNumberFormat="1">
      <alignment horizontal="center"/>
    </xf>
    <xf borderId="0" fillId="0" fontId="26" numFmtId="172" xfId="0" applyAlignment="1" applyFont="1" applyNumberFormat="1">
      <alignment horizontal="center"/>
    </xf>
    <xf borderId="0" fillId="0" fontId="49" numFmtId="0" xfId="0" applyAlignment="1" applyFont="1">
      <alignment readingOrder="0"/>
    </xf>
    <xf borderId="0" fillId="4" fontId="26" numFmtId="0" xfId="0" applyAlignment="1" applyFont="1">
      <alignment horizontal="center" readingOrder="0"/>
    </xf>
    <xf borderId="0" fillId="4" fontId="19" numFmtId="0" xfId="0" applyAlignment="1" applyFont="1">
      <alignment horizontal="center" vertical="bottom"/>
    </xf>
    <xf borderId="0" fillId="4" fontId="19" numFmtId="1" xfId="0" applyAlignment="1" applyFont="1" applyNumberFormat="1">
      <alignment horizontal="center" readingOrder="0"/>
    </xf>
    <xf borderId="0" fillId="0" fontId="16" numFmtId="9" xfId="0" applyAlignment="1" applyFont="1" applyNumberFormat="1">
      <alignment readingOrder="0"/>
    </xf>
    <xf borderId="11" fillId="10" fontId="19" numFmtId="2" xfId="0" applyAlignment="1" applyBorder="1" applyFont="1" applyNumberFormat="1">
      <alignment horizontal="center"/>
    </xf>
    <xf borderId="14" fillId="4" fontId="19" numFmtId="2" xfId="0" applyAlignment="1" applyBorder="1" applyFont="1" applyNumberFormat="1">
      <alignment horizontal="center"/>
    </xf>
    <xf borderId="14" fillId="0" fontId="19" numFmtId="3" xfId="0" applyAlignment="1" applyBorder="1" applyFont="1" applyNumberFormat="1">
      <alignment horizontal="center"/>
    </xf>
    <xf borderId="15" fillId="0" fontId="26" numFmtId="3" xfId="0" applyAlignment="1" applyBorder="1" applyFont="1" applyNumberFormat="1">
      <alignment horizontal="center"/>
    </xf>
    <xf borderId="15" fillId="0" fontId="19" numFmtId="2" xfId="0" applyAlignment="1" applyBorder="1" applyFont="1" applyNumberFormat="1">
      <alignment horizontal="center"/>
    </xf>
    <xf borderId="14" fillId="0" fontId="26" numFmtId="0" xfId="0" applyBorder="1" applyFont="1"/>
    <xf borderId="15" fillId="0" fontId="19" numFmtId="3" xfId="0" applyAlignment="1" applyBorder="1" applyFont="1" applyNumberFormat="1">
      <alignment horizontal="center"/>
    </xf>
    <xf borderId="0" fillId="0" fontId="20" numFmtId="2" xfId="0" applyAlignment="1" applyFont="1" applyNumberFormat="1">
      <alignment horizontal="center"/>
    </xf>
    <xf borderId="0" fillId="0" fontId="19" numFmtId="2" xfId="0" applyAlignment="1" applyFont="1" applyNumberFormat="1">
      <alignment horizontal="center" vertical="bottom"/>
    </xf>
    <xf borderId="0" fillId="0" fontId="16" numFmtId="0" xfId="0" applyAlignment="1" applyFont="1">
      <alignment shrinkToFit="0" wrapText="0"/>
    </xf>
    <xf borderId="0" fillId="4" fontId="19" numFmtId="165" xfId="0" applyAlignment="1" applyFont="1" applyNumberFormat="1">
      <alignment horizontal="center" readingOrder="0"/>
    </xf>
    <xf borderId="11" fillId="10" fontId="1" numFmtId="10" xfId="0" applyAlignment="1" applyBorder="1" applyFont="1" applyNumberFormat="1">
      <alignment horizontal="center"/>
    </xf>
    <xf borderId="8" fillId="4" fontId="19" numFmtId="2" xfId="0" applyAlignment="1" applyBorder="1" applyFont="1" applyNumberFormat="1">
      <alignment horizontal="center" readingOrder="0"/>
    </xf>
    <xf borderId="9" fillId="4" fontId="19" numFmtId="0" xfId="0" applyAlignment="1" applyBorder="1" applyFont="1">
      <alignment horizontal="center" readingOrder="0"/>
    </xf>
    <xf borderId="9" fillId="0" fontId="19" numFmtId="0" xfId="0" applyAlignment="1" applyBorder="1" applyFont="1">
      <alignment horizontal="center"/>
    </xf>
    <xf borderId="9" fillId="0" fontId="19" numFmtId="2" xfId="0" applyAlignment="1" applyBorder="1" applyFont="1" applyNumberFormat="1">
      <alignment horizontal="center" readingOrder="0"/>
    </xf>
    <xf borderId="9" fillId="4" fontId="19" numFmtId="2" xfId="0" applyAlignment="1" applyBorder="1" applyFont="1" applyNumberFormat="1">
      <alignment horizontal="center"/>
    </xf>
    <xf borderId="9" fillId="0" fontId="26" numFmtId="166" xfId="0" applyAlignment="1" applyBorder="1" applyFont="1" applyNumberFormat="1">
      <alignment horizontal="center"/>
    </xf>
    <xf borderId="9" fillId="0" fontId="19" numFmtId="167" xfId="0" applyAlignment="1" applyBorder="1" applyFont="1" applyNumberFormat="1">
      <alignment horizontal="center"/>
    </xf>
    <xf borderId="9" fillId="0" fontId="19" numFmtId="3" xfId="0" applyAlignment="1" applyBorder="1" applyFont="1" applyNumberFormat="1">
      <alignment horizontal="center"/>
    </xf>
    <xf borderId="9" fillId="0" fontId="19" numFmtId="166" xfId="0" applyAlignment="1" applyBorder="1" applyFont="1" applyNumberFormat="1">
      <alignment horizontal="center"/>
    </xf>
    <xf borderId="9" fillId="0" fontId="19" numFmtId="2" xfId="0" applyAlignment="1" applyBorder="1" applyFont="1" applyNumberFormat="1">
      <alignment horizontal="center"/>
    </xf>
    <xf borderId="10" fillId="0" fontId="19" numFmtId="3" xfId="0" applyAlignment="1" applyBorder="1" applyFont="1" applyNumberFormat="1">
      <alignment horizontal="center"/>
    </xf>
    <xf borderId="11" fillId="4" fontId="19" numFmtId="2" xfId="0" applyAlignment="1" applyBorder="1" applyFont="1" applyNumberFormat="1">
      <alignment horizontal="center" readingOrder="0"/>
    </xf>
    <xf borderId="11" fillId="10" fontId="1" numFmtId="2" xfId="0" applyAlignment="1" applyBorder="1" applyFont="1" applyNumberFormat="1">
      <alignment horizontal="center"/>
    </xf>
    <xf borderId="11" fillId="10" fontId="1" numFmtId="165" xfId="0" applyAlignment="1" applyBorder="1" applyFont="1" applyNumberFormat="1">
      <alignment horizontal="center"/>
    </xf>
    <xf borderId="11" fillId="10" fontId="1" numFmtId="2" xfId="0" applyAlignment="1" applyBorder="1" applyFont="1" applyNumberFormat="1">
      <alignment horizontal="center" vertical="bottom"/>
    </xf>
    <xf borderId="0" fillId="0" fontId="19" numFmtId="0" xfId="0" applyAlignment="1" applyFont="1">
      <alignment horizontal="center" readingOrder="0"/>
    </xf>
    <xf borderId="11" fillId="10" fontId="1" numFmtId="165" xfId="0" applyAlignment="1" applyBorder="1" applyFont="1" applyNumberFormat="1">
      <alignment vertical="bottom"/>
    </xf>
    <xf borderId="11" fillId="0" fontId="19" numFmtId="2" xfId="0" applyAlignment="1" applyBorder="1" applyFont="1" applyNumberFormat="1">
      <alignment horizontal="center" readingOrder="0"/>
    </xf>
    <xf borderId="12" fillId="0" fontId="26" numFmtId="0" xfId="0" applyBorder="1" applyFont="1"/>
    <xf borderId="14" fillId="0" fontId="26" numFmtId="3" xfId="0" applyAlignment="1" applyBorder="1" applyFont="1" applyNumberFormat="1">
      <alignment horizontal="center"/>
    </xf>
    <xf borderId="15" fillId="0" fontId="26" numFmtId="0" xfId="0" applyBorder="1" applyFont="1"/>
    <xf borderId="0" fillId="4" fontId="19" numFmtId="1" xfId="0" applyAlignment="1" applyFont="1" applyNumberFormat="1">
      <alignment horizontal="center"/>
    </xf>
    <xf borderId="0" fillId="0" fontId="26" numFmtId="0" xfId="0" applyAlignment="1" applyFont="1">
      <alignment horizontal="left"/>
    </xf>
    <xf borderId="0" fillId="0" fontId="32" numFmtId="0" xfId="0" applyAlignment="1" applyFont="1">
      <alignment readingOrder="0"/>
    </xf>
    <xf borderId="0" fillId="0" fontId="19" numFmtId="165" xfId="0" applyAlignment="1" applyFont="1" applyNumberFormat="1">
      <alignment horizontal="center" readingOrder="0"/>
    </xf>
    <xf borderId="11" fillId="10" fontId="1" numFmtId="2" xfId="0" applyAlignment="1" applyBorder="1" applyFont="1" applyNumberFormat="1">
      <alignment horizontal="center" readingOrder="0"/>
    </xf>
    <xf borderId="0" fillId="0" fontId="26" numFmtId="3" xfId="0" applyFont="1" applyNumberFormat="1"/>
    <xf borderId="14" fillId="0" fontId="23" numFmtId="4" xfId="0" applyAlignment="1" applyBorder="1" applyFont="1" applyNumberFormat="1">
      <alignment horizontal="center" readingOrder="0" shrinkToFit="0" vertical="bottom" wrapText="0"/>
    </xf>
    <xf borderId="0" fillId="0" fontId="21" numFmtId="0" xfId="0" applyAlignment="1" applyFont="1">
      <alignment horizontal="right" vertical="center"/>
    </xf>
    <xf borderId="24" fillId="0" fontId="50" numFmtId="0" xfId="0" applyAlignment="1" applyBorder="1" applyFont="1">
      <alignment readingOrder="0" vertical="bottom"/>
    </xf>
    <xf borderId="25" fillId="0" fontId="6" numFmtId="0" xfId="0" applyBorder="1" applyFont="1"/>
    <xf borderId="25" fillId="0" fontId="50" numFmtId="0" xfId="0" applyAlignment="1" applyBorder="1" applyFont="1">
      <alignment horizontal="center" readingOrder="0" vertical="bottom"/>
    </xf>
    <xf borderId="26" fillId="0" fontId="50" numFmtId="0" xfId="0" applyAlignment="1" applyBorder="1" applyFont="1">
      <alignment horizontal="center" readingOrder="0" vertical="bottom"/>
    </xf>
    <xf borderId="27" fillId="0" fontId="50" numFmtId="0" xfId="0" applyAlignment="1" applyBorder="1" applyFont="1">
      <alignment horizontal="center" readingOrder="0" vertical="bottom"/>
    </xf>
    <xf borderId="28" fillId="0" fontId="50" numFmtId="0" xfId="0" applyAlignment="1" applyBorder="1" applyFont="1">
      <alignment readingOrder="0" vertical="bottom"/>
    </xf>
    <xf borderId="29" fillId="0" fontId="6" numFmtId="0" xfId="0" applyBorder="1" applyFont="1"/>
    <xf borderId="30" fillId="0" fontId="51" numFmtId="1" xfId="0" applyAlignment="1" applyBorder="1" applyFont="1" applyNumberFormat="1">
      <alignment horizontal="center" readingOrder="0" shrinkToFit="0" vertical="bottom" wrapText="1"/>
    </xf>
    <xf borderId="31" fillId="0" fontId="50" numFmtId="0" xfId="0" applyAlignment="1" applyBorder="1" applyFont="1">
      <alignment horizontal="center" readingOrder="0" vertical="bottom"/>
    </xf>
    <xf borderId="32" fillId="0" fontId="50" numFmtId="0" xfId="0" applyAlignment="1" applyBorder="1" applyFont="1">
      <alignment readingOrder="0" shrinkToFit="0" vertical="bottom" wrapText="1"/>
    </xf>
    <xf borderId="33" fillId="0" fontId="6" numFmtId="0" xfId="0" applyBorder="1" applyFont="1"/>
    <xf borderId="34" fillId="0" fontId="51" numFmtId="1" xfId="0" applyAlignment="1" applyBorder="1" applyFont="1" applyNumberFormat="1">
      <alignment horizontal="center" readingOrder="0" shrinkToFit="0" vertical="bottom" wrapText="1"/>
    </xf>
    <xf borderId="31" fillId="0" fontId="51" numFmtId="1" xfId="0" applyAlignment="1" applyBorder="1" applyFont="1" applyNumberFormat="1">
      <alignment horizontal="center" readingOrder="0" shrinkToFit="0" vertical="bottom" wrapText="1"/>
    </xf>
    <xf borderId="11" fillId="0" fontId="50" numFmtId="0" xfId="0" applyAlignment="1" applyBorder="1" applyFont="1">
      <alignment readingOrder="0" vertical="bottom"/>
    </xf>
    <xf borderId="35" fillId="0" fontId="50" numFmtId="0" xfId="0" applyAlignment="1" applyBorder="1" applyFont="1">
      <alignment vertical="bottom"/>
    </xf>
    <xf borderId="36" fillId="0" fontId="51" numFmtId="0" xfId="0" applyAlignment="1" applyBorder="1" applyFont="1">
      <alignment horizontal="center" readingOrder="0" vertical="bottom"/>
    </xf>
    <xf borderId="37" fillId="0" fontId="51" numFmtId="0" xfId="0" applyAlignment="1" applyBorder="1" applyFont="1">
      <alignment horizontal="center" readingOrder="0" vertical="bottom"/>
    </xf>
    <xf borderId="24" fillId="0" fontId="50" numFmtId="0" xfId="0" applyAlignment="1" applyBorder="1" applyFont="1">
      <alignment horizontal="center" readingOrder="0" shrinkToFit="0" vertical="bottom" wrapText="1"/>
    </xf>
    <xf borderId="26" fillId="0" fontId="50" numFmtId="1" xfId="0" applyAlignment="1" applyBorder="1" applyFont="1" applyNumberFormat="1">
      <alignment horizontal="center" readingOrder="0" shrinkToFit="0" vertical="bottom" wrapText="1"/>
    </xf>
    <xf borderId="38" fillId="0" fontId="50" numFmtId="0" xfId="0" applyAlignment="1" applyBorder="1" applyFont="1">
      <alignment readingOrder="0" vertical="bottom"/>
    </xf>
    <xf borderId="39" fillId="0" fontId="50" numFmtId="0" xfId="0" applyAlignment="1" applyBorder="1" applyFont="1">
      <alignment vertical="bottom"/>
    </xf>
    <xf borderId="40" fillId="0" fontId="50" numFmtId="0" xfId="0" applyAlignment="1" applyBorder="1" applyFont="1">
      <alignment vertical="bottom"/>
    </xf>
    <xf borderId="11" fillId="0" fontId="51" numFmtId="0" xfId="0" applyAlignment="1" applyBorder="1" applyFont="1">
      <alignment readingOrder="0" vertical="bottom"/>
    </xf>
    <xf borderId="41" fillId="0" fontId="51" numFmtId="165" xfId="0" applyAlignment="1" applyBorder="1" applyFont="1" applyNumberFormat="1">
      <alignment horizontal="center" readingOrder="0" vertical="bottom"/>
    </xf>
    <xf borderId="35" fillId="0" fontId="51" numFmtId="166" xfId="0" applyAlignment="1" applyBorder="1" applyFont="1" applyNumberFormat="1">
      <alignment horizontal="center" readingOrder="0" vertical="bottom"/>
    </xf>
    <xf borderId="41" fillId="0" fontId="51" numFmtId="166" xfId="0" applyAlignment="1" applyBorder="1" applyFont="1" applyNumberFormat="1">
      <alignment horizontal="center" readingOrder="0" vertical="bottom"/>
    </xf>
    <xf borderId="42" fillId="0" fontId="51" numFmtId="166" xfId="0" applyAlignment="1" applyBorder="1" applyFont="1" applyNumberFormat="1">
      <alignment horizontal="center" readingOrder="0" vertical="bottom"/>
    </xf>
    <xf borderId="11" fillId="0" fontId="51" numFmtId="0" xfId="0" applyAlignment="1" applyBorder="1" applyFont="1">
      <alignment vertical="bottom"/>
    </xf>
    <xf borderId="13" fillId="0" fontId="51" numFmtId="0" xfId="0" applyAlignment="1" applyBorder="1" applyFont="1">
      <alignment readingOrder="0" vertical="bottom"/>
    </xf>
    <xf borderId="43" fillId="0" fontId="51" numFmtId="165" xfId="0" applyAlignment="1" applyBorder="1" applyFont="1" applyNumberFormat="1">
      <alignment horizontal="center" readingOrder="0" vertical="bottom"/>
    </xf>
    <xf borderId="44" fillId="0" fontId="51" numFmtId="166" xfId="0" applyAlignment="1" applyBorder="1" applyFont="1" applyNumberFormat="1">
      <alignment horizontal="center" readingOrder="0" vertical="bottom"/>
    </xf>
    <xf borderId="43" fillId="0" fontId="51" numFmtId="166" xfId="0" applyAlignment="1" applyBorder="1" applyFont="1" applyNumberFormat="1">
      <alignment horizontal="center" readingOrder="0" vertical="bottom"/>
    </xf>
    <xf borderId="45" fillId="0" fontId="51" numFmtId="166" xfId="0" applyAlignment="1" applyBorder="1" applyFont="1" applyNumberFormat="1">
      <alignment horizontal="center" readingOrder="0" vertical="bottom"/>
    </xf>
    <xf borderId="32" fillId="0" fontId="50" numFmtId="0" xfId="0" applyAlignment="1" applyBorder="1" applyFont="1">
      <alignment horizontal="center" readingOrder="0" shrinkToFit="0" vertical="bottom" wrapText="1"/>
    </xf>
    <xf borderId="46" fillId="0" fontId="50" numFmtId="1" xfId="0" applyAlignment="1" applyBorder="1" applyFont="1" applyNumberFormat="1">
      <alignment horizontal="center" readingOrder="0" shrinkToFit="0" vertical="bottom" wrapText="1"/>
    </xf>
    <xf borderId="47" fillId="0" fontId="50" numFmtId="0" xfId="0" applyAlignment="1" applyBorder="1" applyFont="1">
      <alignment readingOrder="0" vertical="bottom"/>
    </xf>
    <xf borderId="7" fillId="0" fontId="50" numFmtId="0" xfId="0" applyAlignment="1" applyBorder="1" applyFont="1">
      <alignment vertical="bottom"/>
    </xf>
    <xf borderId="48" fillId="0" fontId="50" numFmtId="0" xfId="0" applyAlignment="1" applyBorder="1" applyFont="1">
      <alignment vertical="bottom"/>
    </xf>
    <xf borderId="35" fillId="0" fontId="51" numFmtId="2" xfId="0" applyAlignment="1" applyBorder="1" applyFont="1" applyNumberFormat="1">
      <alignment horizontal="center" readingOrder="0" vertical="bottom"/>
    </xf>
    <xf borderId="36" fillId="0" fontId="51" numFmtId="2" xfId="0" applyAlignment="1" applyBorder="1" applyFont="1" applyNumberFormat="1">
      <alignment horizontal="center" readingOrder="0" vertical="bottom"/>
    </xf>
    <xf borderId="12" fillId="0" fontId="51" numFmtId="2" xfId="0" applyAlignment="1" applyBorder="1" applyFont="1" applyNumberFormat="1">
      <alignment horizontal="center" readingOrder="0" vertical="bottom"/>
    </xf>
    <xf borderId="41" fillId="0" fontId="51" numFmtId="2" xfId="0" applyAlignment="1" applyBorder="1" applyFont="1" applyNumberFormat="1">
      <alignment horizontal="center" readingOrder="0" vertical="bottom"/>
    </xf>
    <xf borderId="43" fillId="0" fontId="51" numFmtId="2" xfId="0" applyAlignment="1" applyBorder="1" applyFont="1" applyNumberFormat="1">
      <alignment horizontal="center" readingOrder="0" vertical="bottom"/>
    </xf>
    <xf borderId="34" fillId="0" fontId="17" numFmtId="0" xfId="0" applyBorder="1" applyFont="1"/>
    <xf borderId="34" fillId="0" fontId="17" numFmtId="0" xfId="0" applyAlignment="1" applyBorder="1" applyFont="1">
      <alignment horizontal="center"/>
    </xf>
    <xf borderId="0" fillId="0" fontId="1" numFmtId="0" xfId="0" applyAlignment="1" applyFont="1">
      <alignment horizontal="center" shrinkToFit="0" vertical="center" wrapText="1"/>
    </xf>
    <xf borderId="34" fillId="0" fontId="17" numFmtId="0" xfId="0" applyAlignment="1" applyBorder="1" applyFont="1">
      <alignment readingOrder="0"/>
    </xf>
    <xf borderId="0" fillId="0" fontId="1" numFmtId="0" xfId="0" applyAlignment="1" applyFont="1">
      <alignment horizontal="center"/>
    </xf>
    <xf borderId="0" fillId="0" fontId="1" numFmtId="2" xfId="0" applyAlignment="1" applyFont="1" applyNumberFormat="1">
      <alignment horizontal="center"/>
    </xf>
    <xf borderId="17" fillId="0" fontId="19" numFmtId="0" xfId="0" applyAlignment="1" applyBorder="1" applyFont="1">
      <alignment horizontal="center" readingOrder="0"/>
    </xf>
    <xf borderId="18" fillId="0" fontId="6" numFmtId="0" xfId="0" applyBorder="1" applyFont="1"/>
    <xf borderId="19" fillId="0" fontId="6" numFmtId="0" xfId="0" applyBorder="1" applyFont="1"/>
    <xf borderId="18" fillId="0" fontId="26" numFmtId="0" xfId="0" applyAlignment="1" applyBorder="1" applyFont="1">
      <alignment horizontal="center" readingOrder="0"/>
    </xf>
    <xf borderId="17" fillId="0" fontId="26" numFmtId="0" xfId="0" applyAlignment="1" applyBorder="1" applyFont="1">
      <alignment horizontal="center" readingOrder="0"/>
    </xf>
    <xf borderId="8" fillId="0" fontId="19" numFmtId="0" xfId="0" applyAlignment="1" applyBorder="1" applyFont="1">
      <alignment horizontal="center" readingOrder="0" shrinkToFit="0" vertical="center" wrapText="1"/>
    </xf>
    <xf borderId="20" fillId="0" fontId="19" numFmtId="0" xfId="0" applyAlignment="1" applyBorder="1" applyFont="1">
      <alignment horizontal="center" readingOrder="0" vertical="center"/>
    </xf>
    <xf borderId="9" fillId="0" fontId="19" numFmtId="0" xfId="0" applyAlignment="1" applyBorder="1" applyFont="1">
      <alignment horizontal="center" readingOrder="0" shrinkToFit="0" vertical="center" wrapText="1"/>
    </xf>
    <xf borderId="20" fillId="0" fontId="19" numFmtId="0" xfId="0" applyAlignment="1" applyBorder="1" applyFont="1">
      <alignment horizontal="center" readingOrder="0" shrinkToFit="0" vertical="center" wrapText="1"/>
    </xf>
    <xf borderId="10" fillId="0" fontId="19" numFmtId="0" xfId="0" applyAlignment="1" applyBorder="1" applyFont="1">
      <alignment horizontal="center" readingOrder="0" shrinkToFit="0" vertical="center" wrapText="1"/>
    </xf>
    <xf borderId="17" fillId="0" fontId="19" numFmtId="0" xfId="0" applyAlignment="1" applyBorder="1" applyFont="1">
      <alignment horizontal="center"/>
    </xf>
    <xf borderId="9" fillId="0" fontId="19" numFmtId="0" xfId="0" applyAlignment="1" applyBorder="1" applyFont="1">
      <alignment horizontal="center" shrinkToFit="0" vertical="center" wrapText="1"/>
    </xf>
    <xf borderId="15" fillId="0" fontId="6" numFmtId="0" xfId="0" applyBorder="1" applyFont="1"/>
    <xf borderId="13" fillId="0" fontId="6" numFmtId="0" xfId="0" applyBorder="1" applyFont="1"/>
    <xf borderId="22" fillId="0" fontId="6" numFmtId="0" xfId="0" applyBorder="1" applyFont="1"/>
    <xf borderId="14" fillId="0" fontId="6" numFmtId="0" xfId="0" applyBorder="1" applyFont="1"/>
    <xf borderId="49" fillId="0" fontId="19" numFmtId="0" xfId="0" applyAlignment="1" applyBorder="1" applyFont="1">
      <alignment horizontal="center" readingOrder="0"/>
    </xf>
    <xf borderId="50" fillId="0" fontId="19" numFmtId="0" xfId="0" applyAlignment="1" applyBorder="1" applyFont="1">
      <alignment horizontal="center" readingOrder="0"/>
    </xf>
    <xf borderId="51" fillId="0" fontId="19" numFmtId="0" xfId="0" applyAlignment="1" applyBorder="1" applyFont="1">
      <alignment horizontal="center" readingOrder="0"/>
    </xf>
    <xf borderId="48" fillId="0" fontId="26" numFmtId="0" xfId="0" applyAlignment="1" applyBorder="1" applyFont="1">
      <alignment horizontal="center" readingOrder="0"/>
    </xf>
    <xf borderId="33" fillId="0" fontId="26" numFmtId="0" xfId="0" applyAlignment="1" applyBorder="1" applyFont="1">
      <alignment horizontal="center" readingOrder="0"/>
    </xf>
    <xf borderId="11" fillId="0" fontId="19" numFmtId="0" xfId="0" applyAlignment="1" applyBorder="1" applyFont="1">
      <alignment horizontal="center"/>
    </xf>
    <xf borderId="21" fillId="0" fontId="19" numFmtId="0" xfId="0" applyAlignment="1" applyBorder="1" applyFont="1">
      <alignment horizontal="center"/>
    </xf>
    <xf borderId="21" fillId="0" fontId="19" numFmtId="0" xfId="0" applyAlignment="1" applyBorder="1" applyFont="1">
      <alignment horizontal="center" readingOrder="0"/>
    </xf>
    <xf borderId="52" fillId="0" fontId="19" numFmtId="0" xfId="0" applyAlignment="1" applyBorder="1" applyFont="1">
      <alignment horizontal="center"/>
    </xf>
    <xf borderId="42" fillId="0" fontId="19" numFmtId="0" xfId="0" applyAlignment="1" applyBorder="1" applyFont="1">
      <alignment horizontal="center"/>
    </xf>
    <xf borderId="52" fillId="0" fontId="19" numFmtId="2" xfId="0" applyAlignment="1" applyBorder="1" applyFont="1" applyNumberFormat="1">
      <alignment horizontal="center"/>
    </xf>
    <xf borderId="42" fillId="0" fontId="19" numFmtId="2" xfId="0" applyAlignment="1" applyBorder="1" applyFont="1" applyNumberFormat="1">
      <alignment horizontal="center"/>
    </xf>
    <xf borderId="21" fillId="0" fontId="19" numFmtId="166" xfId="0" applyAlignment="1" applyBorder="1" applyFont="1" applyNumberFormat="1">
      <alignment horizontal="center" readingOrder="0"/>
    </xf>
    <xf borderId="12" fillId="0" fontId="19" numFmtId="0" xfId="0" applyAlignment="1" applyBorder="1" applyFont="1">
      <alignment horizontal="center" readingOrder="0"/>
    </xf>
    <xf borderId="52" fillId="0" fontId="19" numFmtId="9" xfId="0" applyAlignment="1" applyBorder="1" applyFont="1" applyNumberFormat="1">
      <alignment horizontal="center" readingOrder="0"/>
    </xf>
    <xf borderId="12" fillId="0" fontId="26" numFmtId="0" xfId="0" applyAlignment="1" applyBorder="1" applyFont="1">
      <alignment horizontal="center" readingOrder="0"/>
    </xf>
    <xf borderId="35" fillId="0" fontId="19" numFmtId="9" xfId="0" applyAlignment="1" applyBorder="1" applyFont="1" applyNumberFormat="1">
      <alignment horizontal="center" readingOrder="0"/>
    </xf>
    <xf borderId="52" fillId="0" fontId="26" numFmtId="9" xfId="0" applyAlignment="1" applyBorder="1" applyFont="1" applyNumberFormat="1">
      <alignment horizontal="center" readingOrder="0"/>
    </xf>
    <xf borderId="12" fillId="0" fontId="26" numFmtId="9" xfId="0" applyAlignment="1" applyBorder="1" applyFont="1" applyNumberFormat="1">
      <alignment horizontal="center" readingOrder="0"/>
    </xf>
    <xf borderId="35" fillId="0" fontId="26" numFmtId="9" xfId="0" applyAlignment="1" applyBorder="1" applyFont="1" applyNumberFormat="1">
      <alignment horizontal="center" readingOrder="0"/>
    </xf>
    <xf borderId="21" fillId="0" fontId="19" numFmtId="0" xfId="0" applyAlignment="1" applyBorder="1" applyFont="1">
      <alignment horizontal="center" readingOrder="0" shrinkToFit="0" wrapText="1"/>
    </xf>
    <xf borderId="21" fillId="0" fontId="19" numFmtId="166" xfId="0" applyAlignment="1" applyBorder="1" applyFont="1" applyNumberFormat="1">
      <alignment horizontal="center"/>
    </xf>
    <xf borderId="42" fillId="0" fontId="19" numFmtId="9" xfId="0" applyAlignment="1" applyBorder="1" applyFont="1" applyNumberFormat="1">
      <alignment horizontal="center" readingOrder="0"/>
    </xf>
    <xf borderId="52" fillId="9" fontId="26" numFmtId="9" xfId="0" applyAlignment="1" applyBorder="1" applyFont="1" applyNumberFormat="1">
      <alignment horizontal="center" readingOrder="0"/>
    </xf>
    <xf borderId="52" fillId="9" fontId="19" numFmtId="9" xfId="0" applyAlignment="1" applyBorder="1" applyFont="1" applyNumberFormat="1">
      <alignment horizontal="center" readingOrder="0"/>
    </xf>
    <xf borderId="13" fillId="0" fontId="19" numFmtId="0" xfId="0" applyAlignment="1" applyBorder="1" applyFont="1">
      <alignment horizontal="center"/>
    </xf>
    <xf borderId="22" fillId="0" fontId="19" numFmtId="0" xfId="0" applyAlignment="1" applyBorder="1" applyFont="1">
      <alignment horizontal="center"/>
    </xf>
    <xf borderId="22" fillId="0" fontId="19" numFmtId="0" xfId="0" applyAlignment="1" applyBorder="1" applyFont="1">
      <alignment horizontal="center" readingOrder="0"/>
    </xf>
    <xf borderId="53" fillId="0" fontId="19" numFmtId="0" xfId="0" applyAlignment="1" applyBorder="1" applyFont="1">
      <alignment horizontal="center"/>
    </xf>
    <xf borderId="45" fillId="0" fontId="19" numFmtId="0" xfId="0" applyAlignment="1" applyBorder="1" applyFont="1">
      <alignment horizontal="center"/>
    </xf>
    <xf borderId="53" fillId="0" fontId="19" numFmtId="2" xfId="0" applyAlignment="1" applyBorder="1" applyFont="1" applyNumberFormat="1">
      <alignment horizontal="center"/>
    </xf>
    <xf borderId="45" fillId="0" fontId="19" numFmtId="2" xfId="0" applyAlignment="1" applyBorder="1" applyFont="1" applyNumberFormat="1">
      <alignment horizontal="center"/>
    </xf>
    <xf borderId="14" fillId="0" fontId="19" numFmtId="166" xfId="0" applyAlignment="1" applyBorder="1" applyFont="1" applyNumberFormat="1">
      <alignment horizontal="center" readingOrder="0"/>
    </xf>
    <xf borderId="22" fillId="0" fontId="19" numFmtId="166" xfId="0" applyAlignment="1" applyBorder="1" applyFont="1" applyNumberFormat="1">
      <alignment horizontal="center" readingOrder="0"/>
    </xf>
    <xf borderId="15" fillId="0" fontId="19" numFmtId="0" xfId="0" applyAlignment="1" applyBorder="1" applyFont="1">
      <alignment horizontal="center" readingOrder="0"/>
    </xf>
    <xf borderId="53" fillId="0" fontId="19" numFmtId="9" xfId="0" applyAlignment="1" applyBorder="1" applyFont="1" applyNumberFormat="1">
      <alignment horizontal="center" readingOrder="0"/>
    </xf>
    <xf borderId="15" fillId="0" fontId="26" numFmtId="0" xfId="0" applyAlignment="1" applyBorder="1" applyFont="1">
      <alignment horizontal="center" readingOrder="0"/>
    </xf>
    <xf borderId="44" fillId="0" fontId="19" numFmtId="9" xfId="0" applyAlignment="1" applyBorder="1" applyFont="1" applyNumberFormat="1">
      <alignment horizontal="center" readingOrder="0"/>
    </xf>
    <xf borderId="53" fillId="0" fontId="26" numFmtId="9" xfId="0" applyAlignment="1" applyBorder="1" applyFont="1" applyNumberFormat="1">
      <alignment horizontal="center" readingOrder="0"/>
    </xf>
    <xf borderId="15" fillId="0" fontId="26" numFmtId="9" xfId="0" applyAlignment="1" applyBorder="1" applyFont="1" applyNumberFormat="1">
      <alignment horizontal="center" readingOrder="0"/>
    </xf>
    <xf borderId="44" fillId="0" fontId="26" numFmtId="9" xfId="0" applyAlignment="1" applyBorder="1" applyFont="1" applyNumberFormat="1">
      <alignment horizontal="center" readingOrder="0"/>
    </xf>
    <xf borderId="0" fillId="9" fontId="1" numFmtId="0" xfId="0" applyAlignment="1" applyFont="1">
      <alignment vertical="bottom"/>
    </xf>
    <xf borderId="0" fillId="11" fontId="17" numFmtId="0" xfId="0" applyFill="1" applyFont="1"/>
    <xf quotePrefix="1" borderId="0" fillId="10" fontId="17" numFmtId="0" xfId="0" applyFont="1"/>
    <xf quotePrefix="1" borderId="0" fillId="0" fontId="17" numFmtId="0" xfId="0" applyFont="1"/>
    <xf borderId="54" fillId="0" fontId="17" numFmtId="0" xfId="0" applyBorder="1" applyFont="1"/>
    <xf borderId="16" fillId="0" fontId="17" numFmtId="0" xfId="0" applyBorder="1" applyFont="1"/>
    <xf borderId="55" fillId="0" fontId="17" numFmtId="0" xfId="0" applyBorder="1" applyFont="1"/>
    <xf borderId="56" fillId="0" fontId="17" numFmtId="0" xfId="0" applyBorder="1" applyFont="1"/>
    <xf borderId="35" fillId="0" fontId="17" numFmtId="0" xfId="0" applyBorder="1" applyFont="1"/>
    <xf borderId="57" fillId="0" fontId="1" numFmtId="0" xfId="0" applyAlignment="1" applyBorder="1" applyFont="1">
      <alignment horizontal="center" shrinkToFit="0" vertical="center" wrapText="1"/>
    </xf>
    <xf borderId="58" fillId="0" fontId="1" numFmtId="0" xfId="0" applyAlignment="1" applyBorder="1" applyFont="1">
      <alignment horizontal="center"/>
    </xf>
    <xf borderId="59" fillId="0" fontId="6" numFmtId="0" xfId="0" applyBorder="1" applyFont="1"/>
    <xf borderId="60" fillId="0" fontId="6" numFmtId="0" xfId="0" applyBorder="1" applyFont="1"/>
    <xf borderId="57" fillId="0" fontId="1" numFmtId="0" xfId="0" applyAlignment="1" applyBorder="1" applyFont="1">
      <alignment horizontal="center" vertical="center"/>
    </xf>
    <xf borderId="61" fillId="0" fontId="6" numFmtId="0" xfId="0" applyBorder="1" applyFont="1"/>
    <xf borderId="62" fillId="0" fontId="6" numFmtId="0" xfId="0" applyBorder="1" applyFont="1"/>
    <xf borderId="63" fillId="0" fontId="1" numFmtId="0" xfId="0" applyAlignment="1" applyBorder="1" applyFont="1">
      <alignment horizontal="center" shrinkToFit="0" vertical="center" wrapText="1"/>
    </xf>
    <xf borderId="64" fillId="0" fontId="1" numFmtId="0" xfId="0" applyAlignment="1" applyBorder="1" applyFont="1">
      <alignment horizontal="center"/>
    </xf>
    <xf borderId="65" fillId="0" fontId="1" numFmtId="0" xfId="0" applyAlignment="1" applyBorder="1" applyFont="1">
      <alignment horizontal="center"/>
    </xf>
    <xf borderId="66" fillId="0" fontId="1" numFmtId="0" xfId="0" applyAlignment="1" applyBorder="1" applyFont="1">
      <alignment horizontal="center"/>
    </xf>
    <xf borderId="63" fillId="0" fontId="6" numFmtId="0" xfId="0" applyBorder="1" applyFont="1"/>
    <xf borderId="6" fillId="0" fontId="6" numFmtId="0" xfId="0" applyBorder="1" applyFont="1"/>
    <xf borderId="67" fillId="0" fontId="6" numFmtId="0" xfId="0" applyBorder="1" applyFont="1"/>
    <xf borderId="47" fillId="0" fontId="17" numFmtId="0" xfId="0" applyBorder="1" applyFont="1"/>
    <xf borderId="7" fillId="0" fontId="17" numFmtId="0" xfId="0" applyBorder="1" applyFont="1"/>
    <xf borderId="33" fillId="0" fontId="17" numFmtId="0" xfId="0" applyBorder="1" applyFont="1"/>
    <xf borderId="68" fillId="0" fontId="1" numFmtId="0" xfId="0" applyAlignment="1" applyBorder="1" applyFont="1">
      <alignment horizontal="center"/>
    </xf>
    <xf borderId="69" fillId="0" fontId="1" numFmtId="0" xfId="0" applyAlignment="1" applyBorder="1" applyFont="1">
      <alignment horizontal="center"/>
    </xf>
    <xf borderId="70" fillId="0" fontId="1" numFmtId="2" xfId="0" applyAlignment="1" applyBorder="1" applyFont="1" applyNumberFormat="1">
      <alignment horizontal="center"/>
    </xf>
    <xf borderId="71" fillId="0" fontId="1" numFmtId="0" xfId="0" applyAlignment="1" applyBorder="1" applyFont="1">
      <alignment horizontal="center"/>
    </xf>
    <xf borderId="72" fillId="0" fontId="1" numFmtId="0" xfId="0" applyAlignment="1" applyBorder="1" applyFont="1">
      <alignment horizontal="center"/>
    </xf>
    <xf borderId="34" fillId="0" fontId="1" numFmtId="2" xfId="0" applyAlignment="1" applyBorder="1" applyFont="1" applyNumberFormat="1">
      <alignment horizontal="center"/>
    </xf>
    <xf borderId="30" fillId="0" fontId="1" numFmtId="2" xfId="0" applyAlignment="1" applyBorder="1" applyFont="1" applyNumberFormat="1">
      <alignment horizontal="center"/>
    </xf>
    <xf borderId="73" fillId="0" fontId="6" numFmtId="0" xfId="0" applyBorder="1" applyFont="1"/>
    <xf borderId="74" fillId="0" fontId="6" numFmtId="0" xfId="0" applyBorder="1" applyFont="1"/>
    <xf borderId="0" fillId="0" fontId="52" numFmtId="0" xfId="0" applyFont="1"/>
    <xf borderId="75" fillId="0" fontId="1" numFmtId="0" xfId="0" applyAlignment="1" applyBorder="1" applyFont="1">
      <alignment horizontal="center"/>
    </xf>
    <xf borderId="64" fillId="0" fontId="1" numFmtId="2" xfId="0" applyAlignment="1" applyBorder="1" applyFont="1" applyNumberFormat="1">
      <alignment horizontal="center"/>
    </xf>
    <xf borderId="65" fillId="0" fontId="1" numFmtId="2" xfId="0" applyAlignment="1" applyBorder="1" applyFont="1" applyNumberFormat="1">
      <alignment horizontal="center"/>
    </xf>
    <xf borderId="66" fillId="0" fontId="1" numFmtId="2" xfId="0" applyAlignment="1" applyBorder="1" applyFont="1" applyNumberFormat="1">
      <alignment horizontal="center"/>
    </xf>
    <xf borderId="73" fillId="0" fontId="1" numFmtId="0" xfId="0" applyAlignment="1" applyBorder="1" applyFont="1">
      <alignment horizontal="center"/>
    </xf>
    <xf borderId="76" fillId="0" fontId="1" numFmtId="2" xfId="0" applyAlignment="1" applyBorder="1" applyFont="1" applyNumberFormat="1">
      <alignment horizontal="center"/>
    </xf>
    <xf borderId="41" fillId="0" fontId="1" numFmtId="2" xfId="0" applyAlignment="1" applyBorder="1" applyFont="1" applyNumberFormat="1">
      <alignment horizontal="center"/>
    </xf>
    <xf borderId="56" fillId="0" fontId="1" numFmtId="2" xfId="0" applyAlignment="1" applyBorder="1" applyFont="1" applyNumberFormat="1">
      <alignment horizontal="center"/>
    </xf>
    <xf borderId="73" fillId="0" fontId="1" numFmtId="0" xfId="0" applyAlignment="1" applyBorder="1" applyFont="1">
      <alignment horizontal="center" shrinkToFit="0" vertical="center" wrapText="1"/>
    </xf>
    <xf borderId="74" fillId="0" fontId="1" numFmtId="0" xfId="0" applyAlignment="1" applyBorder="1" applyFont="1">
      <alignment horizontal="center" shrinkToFit="0" vertical="center" wrapText="1"/>
    </xf>
    <xf borderId="77" fillId="0" fontId="1" numFmtId="0" xfId="0" applyAlignment="1" applyBorder="1" applyFont="1">
      <alignment horizontal="center"/>
    </xf>
    <xf borderId="78" fillId="0" fontId="1" numFmtId="0" xfId="0" applyAlignment="1" applyBorder="1" applyFont="1">
      <alignment horizontal="center"/>
    </xf>
    <xf borderId="79" fillId="0" fontId="1" numFmtId="0" xfId="0" applyAlignment="1" applyBorder="1" applyFont="1">
      <alignment horizontal="left"/>
    </xf>
    <xf borderId="80" fillId="0" fontId="6" numFmtId="0" xfId="0" applyBorder="1" applyFont="1"/>
    <xf borderId="81" fillId="0" fontId="6" numFmtId="0" xfId="0" applyBorder="1" applyFont="1"/>
    <xf borderId="82" fillId="0" fontId="1" numFmtId="0" xfId="0" applyAlignment="1" applyBorder="1" applyFont="1">
      <alignment horizontal="center"/>
    </xf>
    <xf borderId="83" fillId="0" fontId="1" numFmtId="0" xfId="0" applyAlignment="1" applyBorder="1" applyFont="1">
      <alignment horizontal="center"/>
    </xf>
    <xf borderId="57" fillId="0" fontId="1" numFmtId="0" xfId="0" applyAlignment="1" applyBorder="1" applyFont="1">
      <alignment horizontal="left"/>
    </xf>
    <xf borderId="63" fillId="0" fontId="1" numFmtId="0" xfId="0" applyAlignment="1" applyBorder="1" applyFont="1">
      <alignment horizontal="left"/>
    </xf>
    <xf borderId="58" fillId="0" fontId="1" numFmtId="0" xfId="0" applyAlignment="1" applyBorder="1" applyFont="1">
      <alignment horizontal="left"/>
    </xf>
    <xf borderId="75" fillId="0" fontId="1" numFmtId="0" xfId="0" applyAlignment="1" applyBorder="1" applyFont="1">
      <alignment horizontal="left"/>
    </xf>
    <xf borderId="84" fillId="0" fontId="6" numFmtId="0" xfId="0" applyBorder="1" applyFont="1"/>
    <xf borderId="85" fillId="0" fontId="6" numFmtId="0" xfId="0" applyBorder="1" applyFont="1"/>
    <xf borderId="0" fillId="0" fontId="17" numFmtId="165" xfId="0" applyFont="1" applyNumberFormat="1"/>
    <xf borderId="57" fillId="0" fontId="1" numFmtId="0" xfId="0" applyAlignment="1" applyBorder="1" applyFont="1">
      <alignment horizontal="left" shrinkToFit="0" vertical="top" wrapText="1"/>
    </xf>
    <xf borderId="6" fillId="0" fontId="1" numFmtId="0" xfId="0" applyBorder="1" applyFont="1"/>
    <xf borderId="86" fillId="0" fontId="1" numFmtId="0" xfId="0" applyAlignment="1" applyBorder="1" applyFont="1">
      <alignment horizontal="center" shrinkToFit="0" vertical="center" wrapText="1"/>
    </xf>
    <xf borderId="86" fillId="0" fontId="1" numFmtId="0" xfId="0" applyAlignment="1" applyBorder="1" applyFont="1">
      <alignment horizontal="center"/>
    </xf>
    <xf borderId="87" fillId="0" fontId="6" numFmtId="0" xfId="0" applyBorder="1" applyFont="1"/>
    <xf borderId="77" fillId="0" fontId="1" numFmtId="2" xfId="0" applyAlignment="1" applyBorder="1" applyFont="1" applyNumberFormat="1">
      <alignment horizontal="center"/>
    </xf>
    <xf borderId="59" fillId="0" fontId="1" numFmtId="0" xfId="0" applyAlignment="1" applyBorder="1" applyFont="1">
      <alignment horizontal="center" vertical="center"/>
    </xf>
    <xf borderId="82" fillId="0" fontId="1" numFmtId="2" xfId="0" applyAlignment="1" applyBorder="1" applyFont="1" applyNumberFormat="1">
      <alignment horizontal="center"/>
    </xf>
    <xf borderId="88" fillId="0" fontId="1" numFmtId="0" xfId="0" applyAlignment="1" applyBorder="1" applyFont="1">
      <alignment horizontal="center" vertical="center"/>
    </xf>
    <xf borderId="89" fillId="0" fontId="1" numFmtId="0" xfId="0" applyAlignment="1" applyBorder="1" applyFont="1">
      <alignment horizontal="center" vertical="center"/>
    </xf>
    <xf borderId="90" fillId="0" fontId="1" numFmtId="0" xfId="0" applyAlignment="1" applyBorder="1" applyFont="1">
      <alignment horizontal="center"/>
    </xf>
    <xf borderId="33" fillId="0" fontId="1" numFmtId="0" xfId="0" applyAlignment="1" applyBorder="1" applyFont="1">
      <alignment horizontal="center"/>
    </xf>
    <xf borderId="91" fillId="0" fontId="1" numFmtId="0" xfId="0" applyAlignment="1" applyBorder="1" applyFont="1">
      <alignment horizontal="center"/>
    </xf>
    <xf borderId="88" fillId="0" fontId="1" numFmtId="0" xfId="0" applyAlignment="1" applyBorder="1" applyFont="1">
      <alignment horizontal="center"/>
    </xf>
    <xf borderId="89" fillId="0" fontId="1" numFmtId="0" xfId="0" applyAlignment="1" applyBorder="1" applyFont="1">
      <alignment horizontal="center"/>
    </xf>
    <xf borderId="92" fillId="0" fontId="1" numFmtId="0" xfId="0" applyAlignment="1" applyBorder="1" applyFont="1">
      <alignment horizontal="center"/>
    </xf>
    <xf borderId="92" fillId="0" fontId="1" numFmtId="2" xfId="0" applyAlignment="1" applyBorder="1" applyFont="1" applyNumberFormat="1">
      <alignment horizontal="center"/>
    </xf>
    <xf borderId="83" fillId="0" fontId="1" numFmtId="2" xfId="0" applyAlignment="1" applyBorder="1" applyFont="1" applyNumberFormat="1">
      <alignment horizontal="center"/>
    </xf>
    <xf borderId="86" fillId="0" fontId="1" numFmtId="0" xfId="0" applyAlignment="1" applyBorder="1" applyFont="1">
      <alignment horizontal="center" shrinkToFit="0" wrapText="1"/>
    </xf>
    <xf borderId="90" fillId="0" fontId="6" numFmtId="0" xfId="0" applyBorder="1" applyFont="1"/>
    <xf borderId="93" fillId="0" fontId="1" numFmtId="0" xfId="0" applyAlignment="1" applyBorder="1" applyFont="1">
      <alignment horizontal="center"/>
    </xf>
    <xf borderId="16" fillId="0" fontId="6" numFmtId="0" xfId="0" applyBorder="1" applyFont="1"/>
    <xf borderId="94" fillId="0" fontId="6" numFmtId="0" xfId="0" applyBorder="1" applyFont="1"/>
    <xf borderId="95" fillId="0" fontId="1" numFmtId="0" xfId="0" applyAlignment="1" applyBorder="1" applyFont="1">
      <alignment horizontal="center"/>
    </xf>
    <xf borderId="96" fillId="0" fontId="1" numFmtId="0" xfId="0" applyAlignment="1" applyBorder="1" applyFont="1">
      <alignment horizontal="center"/>
    </xf>
    <xf borderId="97" fillId="0" fontId="1" numFmtId="0" xfId="0" applyAlignment="1" applyBorder="1" applyFont="1">
      <alignment horizontal="center"/>
    </xf>
    <xf borderId="98" fillId="0" fontId="1" numFmtId="165" xfId="0" applyAlignment="1" applyBorder="1" applyFont="1" applyNumberFormat="1">
      <alignment horizontal="center"/>
    </xf>
    <xf borderId="7" fillId="0" fontId="1" numFmtId="165" xfId="0" applyAlignment="1" applyBorder="1" applyFont="1" applyNumberFormat="1">
      <alignment horizontal="center"/>
    </xf>
    <xf borderId="91" fillId="0" fontId="1" numFmtId="165" xfId="0" applyAlignment="1" applyBorder="1" applyFont="1" applyNumberFormat="1">
      <alignment horizontal="center"/>
    </xf>
    <xf borderId="99" fillId="0" fontId="1" numFmtId="165" xfId="0" applyAlignment="1" applyBorder="1" applyFont="1" applyNumberFormat="1">
      <alignment horizontal="center"/>
    </xf>
    <xf borderId="100" fillId="0" fontId="1" numFmtId="0" xfId="0" applyAlignment="1" applyBorder="1" applyFont="1">
      <alignment horizontal="center"/>
    </xf>
    <xf borderId="99" fillId="0" fontId="1" numFmtId="0" xfId="0" applyAlignment="1" applyBorder="1" applyFont="1">
      <alignment horizontal="center"/>
    </xf>
    <xf borderId="64" fillId="0" fontId="1" numFmtId="165" xfId="0" applyAlignment="1" applyBorder="1" applyFont="1" applyNumberFormat="1">
      <alignment horizontal="center"/>
    </xf>
    <xf borderId="6" fillId="0" fontId="1" numFmtId="165" xfId="0" applyAlignment="1" applyBorder="1" applyFont="1" applyNumberFormat="1">
      <alignment horizontal="center"/>
    </xf>
    <xf borderId="0" fillId="0" fontId="32" numFmtId="0" xfId="0" applyAlignment="1" applyFont="1">
      <alignment horizontal="center" readingOrder="0"/>
    </xf>
    <xf borderId="0" fillId="0" fontId="50" numFmtId="0" xfId="0" applyAlignment="1" applyFont="1">
      <alignment readingOrder="0" shrinkToFit="0" vertical="bottom" wrapText="1"/>
    </xf>
  </cellXfs>
  <cellStyles count="1">
    <cellStyle xfId="0" name="Normal" builtinId="0"/>
  </cellStyles>
  <dxfs count="2">
    <dxf>
      <font/>
      <fill>
        <patternFill patternType="none"/>
      </fill>
      <border/>
    </dxf>
    <dxf>
      <font/>
      <fill>
        <patternFill patternType="solid">
          <fgColor rgb="FFDBE5F1"/>
          <bgColor rgb="FFDBE5F1"/>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5.png"/><Relationship Id="rId3" Type="http://schemas.openxmlformats.org/officeDocument/2006/relationships/image" Target="../media/image3.png"/><Relationship Id="rId4" Type="http://schemas.openxmlformats.org/officeDocument/2006/relationships/image" Target="../media/image1.png"/><Relationship Id="rId5"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447675</xdr:colOff>
      <xdr:row>0</xdr:row>
      <xdr:rowOff>180975</xdr:rowOff>
    </xdr:from>
    <xdr:ext cx="1704975" cy="8477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2343150</xdr:colOff>
      <xdr:row>0</xdr:row>
      <xdr:rowOff>-9525</xdr:rowOff>
    </xdr:from>
    <xdr:ext cx="1028700" cy="1104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6248400</xdr:colOff>
      <xdr:row>0</xdr:row>
      <xdr:rowOff>161925</xdr:rowOff>
    </xdr:from>
    <xdr:ext cx="1428750" cy="88582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428625</xdr:colOff>
      <xdr:row>3</xdr:row>
      <xdr:rowOff>152400</xdr:rowOff>
    </xdr:from>
    <xdr:ext cx="7962900" cy="2028825"/>
    <xdr:grpSp>
      <xdr:nvGrpSpPr>
        <xdr:cNvPr id="2" name="Shape 2" title="Drawing"/>
        <xdr:cNvGrpSpPr/>
      </xdr:nvGrpSpPr>
      <xdr:grpSpPr>
        <a:xfrm>
          <a:off x="1364550" y="2765588"/>
          <a:ext cx="7962900" cy="2028825"/>
          <a:chOff x="1364550" y="2765588"/>
          <a:chExt cx="7962900" cy="2028825"/>
        </a:xfrm>
      </xdr:grpSpPr>
      <xdr:grpSp>
        <xdr:nvGrpSpPr>
          <xdr:cNvPr id="3" name="Shape 3"/>
          <xdr:cNvGrpSpPr/>
        </xdr:nvGrpSpPr>
        <xdr:grpSpPr>
          <a:xfrm>
            <a:off x="1364550" y="2765588"/>
            <a:ext cx="7962900" cy="2028825"/>
            <a:chOff x="1364550" y="2765588"/>
            <a:chExt cx="7962900" cy="2028825"/>
          </a:xfrm>
        </xdr:grpSpPr>
        <xdr:sp>
          <xdr:nvSpPr>
            <xdr:cNvPr id="4" name="Shape 4"/>
            <xdr:cNvSpPr/>
          </xdr:nvSpPr>
          <xdr:spPr>
            <a:xfrm>
              <a:off x="1364550" y="2765588"/>
              <a:ext cx="7962900" cy="2028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title="Drawing"/>
            <xdr:cNvGrpSpPr/>
          </xdr:nvGrpSpPr>
          <xdr:grpSpPr>
            <a:xfrm>
              <a:off x="1364550" y="2765588"/>
              <a:ext cx="7962900" cy="2028825"/>
              <a:chOff x="180150" y="909825"/>
              <a:chExt cx="9052051" cy="2009925"/>
            </a:xfrm>
          </xdr:grpSpPr>
          <xdr:sp>
            <xdr:nvSpPr>
              <xdr:cNvPr id="6" name="Shape 6"/>
              <xdr:cNvSpPr/>
            </xdr:nvSpPr>
            <xdr:spPr>
              <a:xfrm>
                <a:off x="180150" y="909825"/>
                <a:ext cx="9052050" cy="2009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180150" y="909825"/>
                <a:ext cx="9052051" cy="2009925"/>
                <a:chOff x="160150" y="1080775"/>
                <a:chExt cx="9052051" cy="2009925"/>
              </a:xfrm>
            </xdr:grpSpPr>
            <xdr:pic>
              <xdr:nvPicPr>
                <xdr:cNvPr id="8" name="Shape 8"/>
                <xdr:cNvPicPr preferRelativeResize="0"/>
              </xdr:nvPicPr>
              <xdr:blipFill rotWithShape="1">
                <a:blip r:embed="rId1">
                  <a:alphaModFix/>
                </a:blip>
                <a:srcRect b="0" l="0" r="0" t="0"/>
                <a:stretch/>
              </xdr:blipFill>
              <xdr:spPr>
                <a:xfrm>
                  <a:off x="160150" y="1083075"/>
                  <a:ext cx="6961124" cy="2007625"/>
                </a:xfrm>
                <a:prstGeom prst="rect">
                  <a:avLst/>
                </a:prstGeom>
                <a:noFill/>
                <a:ln>
                  <a:noFill/>
                </a:ln>
              </xdr:spPr>
            </xdr:pic>
            <xdr:pic>
              <xdr:nvPicPr>
                <xdr:cNvPr id="9" name="Shape 9"/>
                <xdr:cNvPicPr preferRelativeResize="0"/>
              </xdr:nvPicPr>
              <xdr:blipFill rotWithShape="1">
                <a:blip r:embed="rId1">
                  <a:alphaModFix/>
                </a:blip>
                <a:srcRect b="0" l="1864" r="0" t="0"/>
                <a:stretch/>
              </xdr:blipFill>
              <xdr:spPr>
                <a:xfrm>
                  <a:off x="2381175" y="1080775"/>
                  <a:ext cx="6831026" cy="2007625"/>
                </a:xfrm>
                <a:prstGeom prst="rect">
                  <a:avLst/>
                </a:prstGeom>
                <a:noFill/>
                <a:ln>
                  <a:noFill/>
                </a:ln>
              </xdr:spPr>
            </xdr:pic>
          </xdr:grpSp>
          <xdr:grpSp>
            <xdr:nvGrpSpPr>
              <xdr:cNvPr id="10" name="Shape 10"/>
              <xdr:cNvGrpSpPr/>
            </xdr:nvGrpSpPr>
            <xdr:grpSpPr>
              <a:xfrm>
                <a:off x="2401861" y="1118500"/>
                <a:ext cx="100029" cy="1581150"/>
                <a:chOff x="2401861" y="1270900"/>
                <a:chExt cx="100029" cy="1581150"/>
              </a:xfrm>
            </xdr:grpSpPr>
            <xdr:sp>
              <xdr:nvSpPr>
                <xdr:cNvPr id="11" name="Shape 11"/>
                <xdr:cNvSpPr/>
              </xdr:nvSpPr>
              <xdr:spPr>
                <a:xfrm>
                  <a:off x="2401861" y="1270900"/>
                  <a:ext cx="100029" cy="158115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12" name="Shape 12"/>
                <xdr:cNvSpPr/>
              </xdr:nvSpPr>
              <xdr:spPr>
                <a:xfrm>
                  <a:off x="2401861" y="1945300"/>
                  <a:ext cx="100029" cy="906750"/>
                </a:xfrm>
                <a:prstGeom prst="rect">
                  <a:avLst/>
                </a:prstGeom>
                <a:solidFill>
                  <a:srgbClr val="9999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13" name="Shape 13"/>
                <xdr:cNvSpPr/>
              </xdr:nvSpPr>
              <xdr:spPr>
                <a:xfrm>
                  <a:off x="2401861" y="1270900"/>
                  <a:ext cx="100029" cy="155100"/>
                </a:xfrm>
                <a:prstGeom prst="rect">
                  <a:avLst/>
                </a:prstGeom>
                <a:solidFill>
                  <a:srgbClr val="CCCCCC"/>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nvGrpSpPr>
              <xdr:cNvPr id="14" name="Shape 14"/>
              <xdr:cNvGrpSpPr/>
            </xdr:nvGrpSpPr>
            <xdr:grpSpPr>
              <a:xfrm>
                <a:off x="4535461" y="1118500"/>
                <a:ext cx="99900" cy="1581300"/>
                <a:chOff x="2401861" y="1270900"/>
                <a:chExt cx="99900" cy="1581300"/>
              </a:xfrm>
            </xdr:grpSpPr>
            <xdr:sp>
              <xdr:nvSpPr>
                <xdr:cNvPr id="15" name="Shape 15"/>
                <xdr:cNvSpPr/>
              </xdr:nvSpPr>
              <xdr:spPr>
                <a:xfrm>
                  <a:off x="2401861" y="1270900"/>
                  <a:ext cx="99900" cy="15813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16" name="Shape 16"/>
                <xdr:cNvSpPr/>
              </xdr:nvSpPr>
              <xdr:spPr>
                <a:xfrm>
                  <a:off x="2401861" y="1945300"/>
                  <a:ext cx="99900" cy="906900"/>
                </a:xfrm>
                <a:prstGeom prst="rect">
                  <a:avLst/>
                </a:prstGeom>
                <a:solidFill>
                  <a:srgbClr val="9999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17" name="Shape 17"/>
                <xdr:cNvSpPr/>
              </xdr:nvSpPr>
              <xdr:spPr>
                <a:xfrm>
                  <a:off x="2401861" y="1270900"/>
                  <a:ext cx="99900" cy="155100"/>
                </a:xfrm>
                <a:prstGeom prst="rect">
                  <a:avLst/>
                </a:prstGeom>
                <a:solidFill>
                  <a:srgbClr val="CCCCCC"/>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nvGrpSpPr>
              <xdr:cNvPr id="18" name="Shape 18"/>
              <xdr:cNvGrpSpPr/>
            </xdr:nvGrpSpPr>
            <xdr:grpSpPr>
              <a:xfrm>
                <a:off x="6837636" y="1124138"/>
                <a:ext cx="99900" cy="1581300"/>
                <a:chOff x="2401861" y="1270900"/>
                <a:chExt cx="99900" cy="1581300"/>
              </a:xfrm>
            </xdr:grpSpPr>
            <xdr:sp>
              <xdr:nvSpPr>
                <xdr:cNvPr id="19" name="Shape 19"/>
                <xdr:cNvSpPr/>
              </xdr:nvSpPr>
              <xdr:spPr>
                <a:xfrm>
                  <a:off x="2401861" y="1270900"/>
                  <a:ext cx="99900" cy="15813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20" name="Shape 20"/>
                <xdr:cNvSpPr/>
              </xdr:nvSpPr>
              <xdr:spPr>
                <a:xfrm>
                  <a:off x="2401861" y="1945300"/>
                  <a:ext cx="99900" cy="906900"/>
                </a:xfrm>
                <a:prstGeom prst="rect">
                  <a:avLst/>
                </a:prstGeom>
                <a:solidFill>
                  <a:srgbClr val="9999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21" name="Shape 21"/>
                <xdr:cNvSpPr/>
              </xdr:nvSpPr>
              <xdr:spPr>
                <a:xfrm>
                  <a:off x="2401861" y="1270900"/>
                  <a:ext cx="99900" cy="155100"/>
                </a:xfrm>
                <a:prstGeom prst="rect">
                  <a:avLst/>
                </a:prstGeom>
                <a:solidFill>
                  <a:srgbClr val="CCCCCC"/>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nvGrpSpPr>
              <xdr:cNvPr id="22" name="Shape 22"/>
              <xdr:cNvGrpSpPr/>
            </xdr:nvGrpSpPr>
            <xdr:grpSpPr>
              <a:xfrm>
                <a:off x="8985075" y="1107100"/>
                <a:ext cx="99911" cy="1592700"/>
                <a:chOff x="8955050" y="1107100"/>
                <a:chExt cx="99911" cy="1592700"/>
              </a:xfrm>
            </xdr:grpSpPr>
            <xdr:sp>
              <xdr:nvSpPr>
                <xdr:cNvPr id="23" name="Shape 23"/>
                <xdr:cNvSpPr/>
              </xdr:nvSpPr>
              <xdr:spPr>
                <a:xfrm>
                  <a:off x="8955061" y="1118500"/>
                  <a:ext cx="99900" cy="15813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24" name="Shape 24"/>
                <xdr:cNvSpPr/>
              </xdr:nvSpPr>
              <xdr:spPr>
                <a:xfrm>
                  <a:off x="8955050" y="2173900"/>
                  <a:ext cx="99900" cy="510600"/>
                </a:xfrm>
                <a:prstGeom prst="rect">
                  <a:avLst/>
                </a:prstGeom>
                <a:solidFill>
                  <a:srgbClr val="9999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25" name="Shape 25"/>
                <xdr:cNvSpPr/>
              </xdr:nvSpPr>
              <xdr:spPr>
                <a:xfrm>
                  <a:off x="8955050" y="1107100"/>
                  <a:ext cx="99900" cy="510600"/>
                </a:xfrm>
                <a:prstGeom prst="rect">
                  <a:avLst/>
                </a:prstGeom>
                <a:solidFill>
                  <a:srgbClr val="9999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nvGrpSpPr>
              <xdr:cNvPr id="26" name="Shape 26"/>
              <xdr:cNvGrpSpPr/>
            </xdr:nvGrpSpPr>
            <xdr:grpSpPr>
              <a:xfrm>
                <a:off x="328450" y="1107100"/>
                <a:ext cx="99911" cy="1592700"/>
                <a:chOff x="8955050" y="1107100"/>
                <a:chExt cx="99911" cy="1592700"/>
              </a:xfrm>
            </xdr:grpSpPr>
            <xdr:sp>
              <xdr:nvSpPr>
                <xdr:cNvPr id="27" name="Shape 27"/>
                <xdr:cNvSpPr/>
              </xdr:nvSpPr>
              <xdr:spPr>
                <a:xfrm>
                  <a:off x="8955061" y="1118500"/>
                  <a:ext cx="99900" cy="15813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28" name="Shape 28"/>
                <xdr:cNvSpPr/>
              </xdr:nvSpPr>
              <xdr:spPr>
                <a:xfrm>
                  <a:off x="8955050" y="2173900"/>
                  <a:ext cx="99900" cy="510600"/>
                </a:xfrm>
                <a:prstGeom prst="rect">
                  <a:avLst/>
                </a:prstGeom>
                <a:solidFill>
                  <a:srgbClr val="9999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sp>
              <xdr:nvSpPr>
                <xdr:cNvPr id="29" name="Shape 29"/>
                <xdr:cNvSpPr/>
              </xdr:nvSpPr>
              <xdr:spPr>
                <a:xfrm>
                  <a:off x="8955050" y="1107100"/>
                  <a:ext cx="99900" cy="510600"/>
                </a:xfrm>
                <a:prstGeom prst="rect">
                  <a:avLst/>
                </a:prstGeom>
                <a:solidFill>
                  <a:srgbClr val="9999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grpSp>
    </xdr:grpSp>
    <xdr:clientData fLocksWithSheet="0"/>
  </xdr:oneCellAnchor>
  <xdr:oneCellAnchor>
    <xdr:from>
      <xdr:col>0</xdr:col>
      <xdr:colOff>790575</xdr:colOff>
      <xdr:row>23</xdr:row>
      <xdr:rowOff>104775</xdr:rowOff>
    </xdr:from>
    <xdr:ext cx="1704975" cy="8477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733425</xdr:colOff>
      <xdr:row>23</xdr:row>
      <xdr:rowOff>57150</xdr:rowOff>
    </xdr:from>
    <xdr:ext cx="1028700" cy="1104900"/>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523875</xdr:colOff>
      <xdr:row>23</xdr:row>
      <xdr:rowOff>85725</xdr:rowOff>
    </xdr:from>
    <xdr:ext cx="1428750" cy="885825"/>
    <xdr:pic>
      <xdr:nvPicPr>
        <xdr:cNvPr id="0" name="image3.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409575</xdr:colOff>
      <xdr:row>10</xdr:row>
      <xdr:rowOff>28575</xdr:rowOff>
    </xdr:from>
    <xdr:ext cx="2038350" cy="1352550"/>
    <xdr:grpSp>
      <xdr:nvGrpSpPr>
        <xdr:cNvPr id="30" name="Shape 30" title="Drawing"/>
        <xdr:cNvGrpSpPr/>
      </xdr:nvGrpSpPr>
      <xdr:grpSpPr>
        <a:xfrm>
          <a:off x="4336350" y="3113242"/>
          <a:ext cx="2020036" cy="1333554"/>
          <a:chOff x="4336350" y="3113242"/>
          <a:chExt cx="2020036" cy="1333554"/>
        </a:xfrm>
      </xdr:grpSpPr>
      <xdr:grpSp>
        <xdr:nvGrpSpPr>
          <xdr:cNvPr id="31" name="Shape 31"/>
          <xdr:cNvGrpSpPr/>
        </xdr:nvGrpSpPr>
        <xdr:grpSpPr>
          <a:xfrm>
            <a:off x="4336350" y="3113242"/>
            <a:ext cx="2020036" cy="1333554"/>
            <a:chOff x="4336350" y="3113242"/>
            <a:chExt cx="2020036" cy="1333554"/>
          </a:xfrm>
        </xdr:grpSpPr>
        <xdr:sp>
          <xdr:nvSpPr>
            <xdr:cNvPr id="32" name="Shape 32"/>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 name="Shape 33"/>
            <xdr:cNvGrpSpPr/>
          </xdr:nvGrpSpPr>
          <xdr:grpSpPr>
            <a:xfrm>
              <a:off x="4336350" y="3113242"/>
              <a:ext cx="2020036" cy="1333554"/>
              <a:chOff x="4336350" y="3113242"/>
              <a:chExt cx="2020036" cy="1333554"/>
            </a:xfrm>
          </xdr:grpSpPr>
          <xdr:sp>
            <xdr:nvSpPr>
              <xdr:cNvPr id="34" name="Shape 34"/>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336350" y="3113242"/>
                <a:ext cx="2020036" cy="1333554"/>
                <a:chOff x="4336350" y="3113242"/>
                <a:chExt cx="2020036" cy="1333554"/>
              </a:xfrm>
            </xdr:grpSpPr>
            <xdr:sp>
              <xdr:nvSpPr>
                <xdr:cNvPr id="36" name="Shape 36"/>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4336609" y="3113242"/>
                  <a:ext cx="2019777" cy="1333554"/>
                  <a:chOff x="5715000" y="1850173"/>
                  <a:chExt cx="2184015" cy="1350981"/>
                </a:xfrm>
              </xdr:grpSpPr>
              <xdr:sp>
                <xdr:nvSpPr>
                  <xdr:cNvPr id="38" name="Shape 38"/>
                  <xdr:cNvSpPr/>
                </xdr:nvSpPr>
                <xdr:spPr>
                  <a:xfrm>
                    <a:off x="5715000" y="1850231"/>
                    <a:ext cx="2183700" cy="135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39" name="Shape 39"/>
                  <xdr:cNvSpPr/>
                </xdr:nvSpPr>
                <xdr:spPr>
                  <a:xfrm>
                    <a:off x="6322612" y="2409916"/>
                    <a:ext cx="1405200" cy="636900"/>
                  </a:xfrm>
                  <a:prstGeom prst="rect">
                    <a:avLst/>
                  </a:prstGeom>
                  <a:no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grpSp>
                <xdr:nvGrpSpPr>
                  <xdr:cNvPr id="40" name="Shape 40"/>
                  <xdr:cNvGrpSpPr/>
                </xdr:nvGrpSpPr>
                <xdr:grpSpPr>
                  <a:xfrm>
                    <a:off x="6151977" y="1850173"/>
                    <a:ext cx="332423" cy="337675"/>
                    <a:chOff x="6208861" y="1905000"/>
                    <a:chExt cx="334800" cy="330600"/>
                  </a:xfrm>
                </xdr:grpSpPr>
                <xdr:sp>
                  <xdr:nvSpPr>
                    <xdr:cNvPr id="41" name="Shape 41"/>
                    <xdr:cNvSpPr/>
                  </xdr:nvSpPr>
                  <xdr:spPr>
                    <a:xfrm>
                      <a:off x="6208861" y="1905000"/>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42" name="Shape 42"/>
                    <xdr:cNvSpPr txBox="1"/>
                  </xdr:nvSpPr>
                  <xdr:spPr>
                    <a:xfrm>
                      <a:off x="6247110" y="1933342"/>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1</a:t>
                      </a:r>
                      <a:endParaRPr sz="1400"/>
                    </a:p>
                  </xdr:txBody>
                </xdr:sp>
              </xdr:grpSp>
              <xdr:grpSp>
                <xdr:nvGrpSpPr>
                  <xdr:cNvPr id="43" name="Shape 43"/>
                  <xdr:cNvGrpSpPr/>
                </xdr:nvGrpSpPr>
                <xdr:grpSpPr>
                  <a:xfrm>
                    <a:off x="7566592" y="1859823"/>
                    <a:ext cx="332423" cy="337675"/>
                    <a:chOff x="6208996" y="1905122"/>
                    <a:chExt cx="334800" cy="330600"/>
                  </a:xfrm>
                </xdr:grpSpPr>
                <xdr:sp>
                  <xdr:nvSpPr>
                    <xdr:cNvPr id="44" name="Shape 44"/>
                    <xdr:cNvSpPr/>
                  </xdr:nvSpPr>
                  <xdr:spPr>
                    <a:xfrm>
                      <a:off x="6208996" y="1905122"/>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45" name="Shape 45"/>
                    <xdr:cNvSpPr txBox="1"/>
                  </xdr:nvSpPr>
                  <xdr:spPr>
                    <a:xfrm>
                      <a:off x="6247245" y="1933464"/>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2</a:t>
                      </a:r>
                      <a:endParaRPr sz="1400"/>
                    </a:p>
                  </xdr:txBody>
                </xdr:sp>
              </xdr:grpSp>
              <xdr:cxnSp>
                <xdr:nvCxnSpPr>
                  <xdr:cNvPr id="46" name="Shape 46"/>
                  <xdr:cNvCxnSpPr/>
                </xdr:nvCxnSpPr>
                <xdr:spPr>
                  <a:xfrm rot="10800000">
                    <a:off x="6313118" y="2197767"/>
                    <a:ext cx="0" cy="144600"/>
                  </a:xfrm>
                  <a:prstGeom prst="straightConnector1">
                    <a:avLst/>
                  </a:prstGeom>
                  <a:noFill/>
                  <a:ln cap="flat" cmpd="sng" w="9525">
                    <a:solidFill>
                      <a:schemeClr val="dk1"/>
                    </a:solidFill>
                    <a:prstDash val="solid"/>
                    <a:round/>
                    <a:headEnd len="sm" w="sm" type="none"/>
                    <a:tailEnd len="sm" w="sm" type="none"/>
                  </a:ln>
                </xdr:spPr>
              </xdr:cxnSp>
              <xdr:cxnSp>
                <xdr:nvCxnSpPr>
                  <xdr:cNvPr id="47" name="Shape 47"/>
                  <xdr:cNvCxnSpPr/>
                </xdr:nvCxnSpPr>
                <xdr:spPr>
                  <a:xfrm rot="10800000">
                    <a:off x="7746703" y="2197767"/>
                    <a:ext cx="0" cy="144600"/>
                  </a:xfrm>
                  <a:prstGeom prst="straightConnector1">
                    <a:avLst/>
                  </a:prstGeom>
                  <a:noFill/>
                  <a:ln cap="flat" cmpd="sng" w="9525">
                    <a:solidFill>
                      <a:schemeClr val="dk1"/>
                    </a:solidFill>
                    <a:prstDash val="solid"/>
                    <a:round/>
                    <a:headEnd len="sm" w="sm" type="none"/>
                    <a:tailEnd len="sm" w="sm" type="none"/>
                  </a:ln>
                </xdr:spPr>
              </xdr:cxnSp>
              <xdr:grpSp>
                <xdr:nvGrpSpPr>
                  <xdr:cNvPr id="48" name="Shape 48"/>
                  <xdr:cNvGrpSpPr/>
                </xdr:nvGrpSpPr>
                <xdr:grpSpPr>
                  <a:xfrm>
                    <a:off x="5715000" y="2216841"/>
                    <a:ext cx="332400" cy="337781"/>
                    <a:chOff x="6210300" y="1902613"/>
                    <a:chExt cx="332400" cy="335400"/>
                  </a:xfrm>
                </xdr:grpSpPr>
                <xdr:sp>
                  <xdr:nvSpPr>
                    <xdr:cNvPr id="49" name="Shape 49"/>
                    <xdr:cNvSpPr/>
                  </xdr:nvSpPr>
                  <xdr:spPr>
                    <a:xfrm>
                      <a:off x="6210300" y="1902613"/>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50" name="Shape 50"/>
                    <xdr:cNvSpPr txBox="1"/>
                  </xdr:nvSpPr>
                  <xdr:spPr>
                    <a:xfrm>
                      <a:off x="6248276" y="1931357"/>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a:t>
                      </a:r>
                      <a:endParaRPr sz="1400"/>
                    </a:p>
                  </xdr:txBody>
                </xdr:sp>
              </xdr:grpSp>
              <xdr:grpSp>
                <xdr:nvGrpSpPr>
                  <xdr:cNvPr id="51" name="Shape 51"/>
                  <xdr:cNvGrpSpPr/>
                </xdr:nvGrpSpPr>
                <xdr:grpSpPr>
                  <a:xfrm>
                    <a:off x="5715000" y="2863373"/>
                    <a:ext cx="332400" cy="337781"/>
                    <a:chOff x="6210300" y="1903029"/>
                    <a:chExt cx="332400" cy="335400"/>
                  </a:xfrm>
                </xdr:grpSpPr>
                <xdr:sp>
                  <xdr:nvSpPr>
                    <xdr:cNvPr id="52" name="Shape 52"/>
                    <xdr:cNvSpPr/>
                  </xdr:nvSpPr>
                  <xdr:spPr>
                    <a:xfrm>
                      <a:off x="6210300" y="1903029"/>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53" name="Shape 53"/>
                    <xdr:cNvSpPr txBox="1"/>
                  </xdr:nvSpPr>
                  <xdr:spPr>
                    <a:xfrm>
                      <a:off x="6248276" y="1931773"/>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a:t>
                      </a:r>
                      <a:endParaRPr sz="1400"/>
                    </a:p>
                  </xdr:txBody>
                </xdr:sp>
              </xdr:grpSp>
              <xdr:cxnSp>
                <xdr:nvCxnSpPr>
                  <xdr:cNvPr id="54" name="Shape 54"/>
                  <xdr:cNvCxnSpPr/>
                </xdr:nvCxnSpPr>
                <xdr:spPr>
                  <a:xfrm rot="10800000">
                    <a:off x="6066149" y="2400266"/>
                    <a:ext cx="199500" cy="0"/>
                  </a:xfrm>
                  <a:prstGeom prst="straightConnector1">
                    <a:avLst/>
                  </a:prstGeom>
                  <a:noFill/>
                  <a:ln cap="flat" cmpd="sng" w="9525">
                    <a:solidFill>
                      <a:schemeClr val="dk1"/>
                    </a:solidFill>
                    <a:prstDash val="solid"/>
                    <a:round/>
                    <a:headEnd len="sm" w="sm" type="none"/>
                    <a:tailEnd len="sm" w="sm" type="none"/>
                  </a:ln>
                </xdr:spPr>
              </xdr:cxnSp>
              <xdr:cxnSp>
                <xdr:nvCxnSpPr>
                  <xdr:cNvPr id="55" name="Shape 55"/>
                  <xdr:cNvCxnSpPr/>
                </xdr:nvCxnSpPr>
                <xdr:spPr>
                  <a:xfrm rot="10800000">
                    <a:off x="6047161" y="3037148"/>
                    <a:ext cx="199500" cy="0"/>
                  </a:xfrm>
                  <a:prstGeom prst="straightConnector1">
                    <a:avLst/>
                  </a:prstGeom>
                  <a:noFill/>
                  <a:ln cap="flat" cmpd="sng" w="9525">
                    <a:solidFill>
                      <a:schemeClr val="dk1"/>
                    </a:solidFill>
                    <a:prstDash val="solid"/>
                    <a:round/>
                    <a:headEnd len="sm" w="sm" type="none"/>
                    <a:tailEnd len="sm" w="sm" type="none"/>
                  </a:ln>
                </xdr:spPr>
              </xdr:cxnSp>
            </xdr:grpSp>
          </xdr:grpSp>
        </xdr:grpSp>
      </xdr:grpSp>
    </xdr:grpSp>
    <xdr:clientData fLocksWithSheet="0"/>
  </xdr:oneCellAnchor>
  <xdr:oneCellAnchor>
    <xdr:from>
      <xdr:col>15</xdr:col>
      <xdr:colOff>409575</xdr:colOff>
      <xdr:row>96</xdr:row>
      <xdr:rowOff>28575</xdr:rowOff>
    </xdr:from>
    <xdr:ext cx="2038350" cy="1352550"/>
    <xdr:grpSp>
      <xdr:nvGrpSpPr>
        <xdr:cNvPr id="30" name="Shape 30" title="Drawing"/>
        <xdr:cNvGrpSpPr/>
      </xdr:nvGrpSpPr>
      <xdr:grpSpPr>
        <a:xfrm>
          <a:off x="4336350" y="3113242"/>
          <a:ext cx="2020036" cy="1333554"/>
          <a:chOff x="4336350" y="3113242"/>
          <a:chExt cx="2020036" cy="1333554"/>
        </a:xfrm>
      </xdr:grpSpPr>
      <xdr:grpSp>
        <xdr:nvGrpSpPr>
          <xdr:cNvPr id="56" name="Shape 56"/>
          <xdr:cNvGrpSpPr/>
        </xdr:nvGrpSpPr>
        <xdr:grpSpPr>
          <a:xfrm>
            <a:off x="4336350" y="3113242"/>
            <a:ext cx="2020036" cy="1333554"/>
            <a:chOff x="4336350" y="3113242"/>
            <a:chExt cx="2020036" cy="1333554"/>
          </a:xfrm>
        </xdr:grpSpPr>
        <xdr:sp>
          <xdr:nvSpPr>
            <xdr:cNvPr id="57" name="Shape 57"/>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 name="Shape 58"/>
            <xdr:cNvGrpSpPr/>
          </xdr:nvGrpSpPr>
          <xdr:grpSpPr>
            <a:xfrm>
              <a:off x="4336350" y="3113242"/>
              <a:ext cx="2020036" cy="1333554"/>
              <a:chOff x="4336350" y="3113242"/>
              <a:chExt cx="2020036" cy="1333554"/>
            </a:xfrm>
          </xdr:grpSpPr>
          <xdr:sp>
            <xdr:nvSpPr>
              <xdr:cNvPr id="59" name="Shape 59"/>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 name="Shape 60"/>
              <xdr:cNvGrpSpPr/>
            </xdr:nvGrpSpPr>
            <xdr:grpSpPr>
              <a:xfrm>
                <a:off x="4336350" y="3113242"/>
                <a:ext cx="2020036" cy="1333554"/>
                <a:chOff x="4336350" y="3113242"/>
                <a:chExt cx="2020036" cy="1333554"/>
              </a:xfrm>
            </xdr:grpSpPr>
            <xdr:sp>
              <xdr:nvSpPr>
                <xdr:cNvPr id="61" name="Shape 61"/>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 name="Shape 62"/>
                <xdr:cNvGrpSpPr/>
              </xdr:nvGrpSpPr>
              <xdr:grpSpPr>
                <a:xfrm>
                  <a:off x="4336609" y="3113242"/>
                  <a:ext cx="2019777" cy="1333554"/>
                  <a:chOff x="5715000" y="1850173"/>
                  <a:chExt cx="2184015" cy="1350981"/>
                </a:xfrm>
              </xdr:grpSpPr>
              <xdr:sp>
                <xdr:nvSpPr>
                  <xdr:cNvPr id="63" name="Shape 63"/>
                  <xdr:cNvSpPr/>
                </xdr:nvSpPr>
                <xdr:spPr>
                  <a:xfrm>
                    <a:off x="5715000" y="1850231"/>
                    <a:ext cx="2183700" cy="135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64" name="Shape 64"/>
                  <xdr:cNvSpPr/>
                </xdr:nvSpPr>
                <xdr:spPr>
                  <a:xfrm>
                    <a:off x="6322612" y="2409916"/>
                    <a:ext cx="1405200" cy="636900"/>
                  </a:xfrm>
                  <a:prstGeom prst="rect">
                    <a:avLst/>
                  </a:prstGeom>
                  <a:no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grpSp>
                <xdr:nvGrpSpPr>
                  <xdr:cNvPr id="65" name="Shape 65"/>
                  <xdr:cNvGrpSpPr/>
                </xdr:nvGrpSpPr>
                <xdr:grpSpPr>
                  <a:xfrm>
                    <a:off x="6151977" y="1850173"/>
                    <a:ext cx="332423" cy="337675"/>
                    <a:chOff x="6208861" y="1905000"/>
                    <a:chExt cx="334800" cy="330600"/>
                  </a:xfrm>
                </xdr:grpSpPr>
                <xdr:sp>
                  <xdr:nvSpPr>
                    <xdr:cNvPr id="66" name="Shape 66"/>
                    <xdr:cNvSpPr/>
                  </xdr:nvSpPr>
                  <xdr:spPr>
                    <a:xfrm>
                      <a:off x="6208861" y="1905000"/>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67" name="Shape 67"/>
                    <xdr:cNvSpPr txBox="1"/>
                  </xdr:nvSpPr>
                  <xdr:spPr>
                    <a:xfrm>
                      <a:off x="6247110" y="1933342"/>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1</a:t>
                      </a:r>
                      <a:endParaRPr sz="1400"/>
                    </a:p>
                  </xdr:txBody>
                </xdr:sp>
              </xdr:grpSp>
              <xdr:grpSp>
                <xdr:nvGrpSpPr>
                  <xdr:cNvPr id="68" name="Shape 68"/>
                  <xdr:cNvGrpSpPr/>
                </xdr:nvGrpSpPr>
                <xdr:grpSpPr>
                  <a:xfrm>
                    <a:off x="7566592" y="1859823"/>
                    <a:ext cx="332423" cy="337675"/>
                    <a:chOff x="6208996" y="1905122"/>
                    <a:chExt cx="334800" cy="330600"/>
                  </a:xfrm>
                </xdr:grpSpPr>
                <xdr:sp>
                  <xdr:nvSpPr>
                    <xdr:cNvPr id="69" name="Shape 69"/>
                    <xdr:cNvSpPr/>
                  </xdr:nvSpPr>
                  <xdr:spPr>
                    <a:xfrm>
                      <a:off x="6208996" y="1905122"/>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70" name="Shape 70"/>
                    <xdr:cNvSpPr txBox="1"/>
                  </xdr:nvSpPr>
                  <xdr:spPr>
                    <a:xfrm>
                      <a:off x="6247245" y="1933464"/>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2</a:t>
                      </a:r>
                      <a:endParaRPr sz="1400"/>
                    </a:p>
                  </xdr:txBody>
                </xdr:sp>
              </xdr:grpSp>
              <xdr:cxnSp>
                <xdr:nvCxnSpPr>
                  <xdr:cNvPr id="71" name="Shape 71"/>
                  <xdr:cNvCxnSpPr/>
                </xdr:nvCxnSpPr>
                <xdr:spPr>
                  <a:xfrm rot="10800000">
                    <a:off x="6313118" y="2197767"/>
                    <a:ext cx="0" cy="144600"/>
                  </a:xfrm>
                  <a:prstGeom prst="straightConnector1">
                    <a:avLst/>
                  </a:prstGeom>
                  <a:noFill/>
                  <a:ln cap="flat" cmpd="sng" w="9525">
                    <a:solidFill>
                      <a:schemeClr val="dk1"/>
                    </a:solidFill>
                    <a:prstDash val="solid"/>
                    <a:round/>
                    <a:headEnd len="sm" w="sm" type="none"/>
                    <a:tailEnd len="sm" w="sm" type="none"/>
                  </a:ln>
                </xdr:spPr>
              </xdr:cxnSp>
              <xdr:cxnSp>
                <xdr:nvCxnSpPr>
                  <xdr:cNvPr id="72" name="Shape 72"/>
                  <xdr:cNvCxnSpPr/>
                </xdr:nvCxnSpPr>
                <xdr:spPr>
                  <a:xfrm rot="10800000">
                    <a:off x="7746703" y="2197767"/>
                    <a:ext cx="0" cy="144600"/>
                  </a:xfrm>
                  <a:prstGeom prst="straightConnector1">
                    <a:avLst/>
                  </a:prstGeom>
                  <a:noFill/>
                  <a:ln cap="flat" cmpd="sng" w="9525">
                    <a:solidFill>
                      <a:schemeClr val="dk1"/>
                    </a:solidFill>
                    <a:prstDash val="solid"/>
                    <a:round/>
                    <a:headEnd len="sm" w="sm" type="none"/>
                    <a:tailEnd len="sm" w="sm" type="none"/>
                  </a:ln>
                </xdr:spPr>
              </xdr:cxnSp>
              <xdr:grpSp>
                <xdr:nvGrpSpPr>
                  <xdr:cNvPr id="73" name="Shape 73"/>
                  <xdr:cNvGrpSpPr/>
                </xdr:nvGrpSpPr>
                <xdr:grpSpPr>
                  <a:xfrm>
                    <a:off x="5715000" y="2216841"/>
                    <a:ext cx="332400" cy="337781"/>
                    <a:chOff x="6210300" y="1902613"/>
                    <a:chExt cx="332400" cy="335400"/>
                  </a:xfrm>
                </xdr:grpSpPr>
                <xdr:sp>
                  <xdr:nvSpPr>
                    <xdr:cNvPr id="74" name="Shape 74"/>
                    <xdr:cNvSpPr/>
                  </xdr:nvSpPr>
                  <xdr:spPr>
                    <a:xfrm>
                      <a:off x="6210300" y="1902613"/>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75" name="Shape 75"/>
                    <xdr:cNvSpPr txBox="1"/>
                  </xdr:nvSpPr>
                  <xdr:spPr>
                    <a:xfrm>
                      <a:off x="6248276" y="1931357"/>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a:t>
                      </a:r>
                      <a:endParaRPr sz="1400"/>
                    </a:p>
                  </xdr:txBody>
                </xdr:sp>
              </xdr:grpSp>
              <xdr:grpSp>
                <xdr:nvGrpSpPr>
                  <xdr:cNvPr id="76" name="Shape 76"/>
                  <xdr:cNvGrpSpPr/>
                </xdr:nvGrpSpPr>
                <xdr:grpSpPr>
                  <a:xfrm>
                    <a:off x="5715000" y="2863373"/>
                    <a:ext cx="332400" cy="337781"/>
                    <a:chOff x="6210300" y="1903029"/>
                    <a:chExt cx="332400" cy="335400"/>
                  </a:xfrm>
                </xdr:grpSpPr>
                <xdr:sp>
                  <xdr:nvSpPr>
                    <xdr:cNvPr id="77" name="Shape 77"/>
                    <xdr:cNvSpPr/>
                  </xdr:nvSpPr>
                  <xdr:spPr>
                    <a:xfrm>
                      <a:off x="6210300" y="1903029"/>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78" name="Shape 78"/>
                    <xdr:cNvSpPr txBox="1"/>
                  </xdr:nvSpPr>
                  <xdr:spPr>
                    <a:xfrm>
                      <a:off x="6248276" y="1931773"/>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a:t>
                      </a:r>
                      <a:endParaRPr sz="1400"/>
                    </a:p>
                  </xdr:txBody>
                </xdr:sp>
              </xdr:grpSp>
              <xdr:cxnSp>
                <xdr:nvCxnSpPr>
                  <xdr:cNvPr id="79" name="Shape 79"/>
                  <xdr:cNvCxnSpPr/>
                </xdr:nvCxnSpPr>
                <xdr:spPr>
                  <a:xfrm rot="10800000">
                    <a:off x="6066149" y="2400266"/>
                    <a:ext cx="199500" cy="0"/>
                  </a:xfrm>
                  <a:prstGeom prst="straightConnector1">
                    <a:avLst/>
                  </a:prstGeom>
                  <a:noFill/>
                  <a:ln cap="flat" cmpd="sng" w="9525">
                    <a:solidFill>
                      <a:schemeClr val="dk1"/>
                    </a:solidFill>
                    <a:prstDash val="solid"/>
                    <a:round/>
                    <a:headEnd len="sm" w="sm" type="none"/>
                    <a:tailEnd len="sm" w="sm" type="none"/>
                  </a:ln>
                </xdr:spPr>
              </xdr:cxnSp>
              <xdr:cxnSp>
                <xdr:nvCxnSpPr>
                  <xdr:cNvPr id="80" name="Shape 80"/>
                  <xdr:cNvCxnSpPr/>
                </xdr:nvCxnSpPr>
                <xdr:spPr>
                  <a:xfrm rot="10800000">
                    <a:off x="6047161" y="3037148"/>
                    <a:ext cx="199500" cy="0"/>
                  </a:xfrm>
                  <a:prstGeom prst="straightConnector1">
                    <a:avLst/>
                  </a:prstGeom>
                  <a:noFill/>
                  <a:ln cap="flat" cmpd="sng" w="9525">
                    <a:solidFill>
                      <a:schemeClr val="dk1"/>
                    </a:solidFill>
                    <a:prstDash val="solid"/>
                    <a:round/>
                    <a:headEnd len="sm" w="sm" type="none"/>
                    <a:tailEnd len="sm" w="sm" type="none"/>
                  </a:ln>
                </xdr:spPr>
              </xdr:cxnSp>
            </xdr:grpSp>
          </xdr:grpSp>
        </xdr:grpSp>
      </xdr:grpSp>
    </xdr:grpSp>
    <xdr:clientData fLocksWithSheet="0"/>
  </xdr:oneCellAnchor>
  <xdr:oneCellAnchor>
    <xdr:from>
      <xdr:col>16</xdr:col>
      <xdr:colOff>28575</xdr:colOff>
      <xdr:row>180</xdr:row>
      <xdr:rowOff>190500</xdr:rowOff>
    </xdr:from>
    <xdr:ext cx="2038350" cy="1352550"/>
    <xdr:grpSp>
      <xdr:nvGrpSpPr>
        <xdr:cNvPr id="30" name="Shape 30" title="Drawing"/>
        <xdr:cNvGrpSpPr/>
      </xdr:nvGrpSpPr>
      <xdr:grpSpPr>
        <a:xfrm>
          <a:off x="4336350" y="3113242"/>
          <a:ext cx="2020036" cy="1333554"/>
          <a:chOff x="4336350" y="3113242"/>
          <a:chExt cx="2020036" cy="1333554"/>
        </a:xfrm>
      </xdr:grpSpPr>
      <xdr:grpSp>
        <xdr:nvGrpSpPr>
          <xdr:cNvPr id="81" name="Shape 81"/>
          <xdr:cNvGrpSpPr/>
        </xdr:nvGrpSpPr>
        <xdr:grpSpPr>
          <a:xfrm>
            <a:off x="4336350" y="3113242"/>
            <a:ext cx="2020036" cy="1333554"/>
            <a:chOff x="4336350" y="3113242"/>
            <a:chExt cx="2020036" cy="1333554"/>
          </a:xfrm>
        </xdr:grpSpPr>
        <xdr:sp>
          <xdr:nvSpPr>
            <xdr:cNvPr id="82" name="Shape 82"/>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 name="Shape 83"/>
            <xdr:cNvGrpSpPr/>
          </xdr:nvGrpSpPr>
          <xdr:grpSpPr>
            <a:xfrm>
              <a:off x="4336350" y="3113242"/>
              <a:ext cx="2020036" cy="1333554"/>
              <a:chOff x="4336350" y="3113242"/>
              <a:chExt cx="2020036" cy="1333554"/>
            </a:xfrm>
          </xdr:grpSpPr>
          <xdr:sp>
            <xdr:nvSpPr>
              <xdr:cNvPr id="84" name="Shape 84"/>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4336350" y="3113242"/>
                <a:ext cx="2020036" cy="1333554"/>
                <a:chOff x="4336350" y="3113242"/>
                <a:chExt cx="2020036" cy="1333554"/>
              </a:xfrm>
            </xdr:grpSpPr>
            <xdr:sp>
              <xdr:nvSpPr>
                <xdr:cNvPr id="86" name="Shape 86"/>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336609" y="3113242"/>
                  <a:ext cx="2019777" cy="1333554"/>
                  <a:chOff x="5715000" y="1850173"/>
                  <a:chExt cx="2184015" cy="1350981"/>
                </a:xfrm>
              </xdr:grpSpPr>
              <xdr:sp>
                <xdr:nvSpPr>
                  <xdr:cNvPr id="88" name="Shape 88"/>
                  <xdr:cNvSpPr/>
                </xdr:nvSpPr>
                <xdr:spPr>
                  <a:xfrm>
                    <a:off x="5715000" y="1850231"/>
                    <a:ext cx="2183700" cy="135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89" name="Shape 89"/>
                  <xdr:cNvSpPr/>
                </xdr:nvSpPr>
                <xdr:spPr>
                  <a:xfrm>
                    <a:off x="6322612" y="2409916"/>
                    <a:ext cx="1405200" cy="636900"/>
                  </a:xfrm>
                  <a:prstGeom prst="rect">
                    <a:avLst/>
                  </a:prstGeom>
                  <a:no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grpSp>
                <xdr:nvGrpSpPr>
                  <xdr:cNvPr id="90" name="Shape 90"/>
                  <xdr:cNvGrpSpPr/>
                </xdr:nvGrpSpPr>
                <xdr:grpSpPr>
                  <a:xfrm>
                    <a:off x="6151977" y="1850173"/>
                    <a:ext cx="332423" cy="337675"/>
                    <a:chOff x="6208861" y="1905000"/>
                    <a:chExt cx="334800" cy="330600"/>
                  </a:xfrm>
                </xdr:grpSpPr>
                <xdr:sp>
                  <xdr:nvSpPr>
                    <xdr:cNvPr id="91" name="Shape 91"/>
                    <xdr:cNvSpPr/>
                  </xdr:nvSpPr>
                  <xdr:spPr>
                    <a:xfrm>
                      <a:off x="6208861" y="1905000"/>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92" name="Shape 92"/>
                    <xdr:cNvSpPr txBox="1"/>
                  </xdr:nvSpPr>
                  <xdr:spPr>
                    <a:xfrm>
                      <a:off x="6247110" y="1933342"/>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1</a:t>
                      </a:r>
                      <a:endParaRPr sz="1400"/>
                    </a:p>
                  </xdr:txBody>
                </xdr:sp>
              </xdr:grpSp>
              <xdr:grpSp>
                <xdr:nvGrpSpPr>
                  <xdr:cNvPr id="93" name="Shape 93"/>
                  <xdr:cNvGrpSpPr/>
                </xdr:nvGrpSpPr>
                <xdr:grpSpPr>
                  <a:xfrm>
                    <a:off x="7566592" y="1859823"/>
                    <a:ext cx="332423" cy="337675"/>
                    <a:chOff x="6208996" y="1905122"/>
                    <a:chExt cx="334800" cy="330600"/>
                  </a:xfrm>
                </xdr:grpSpPr>
                <xdr:sp>
                  <xdr:nvSpPr>
                    <xdr:cNvPr id="94" name="Shape 94"/>
                    <xdr:cNvSpPr/>
                  </xdr:nvSpPr>
                  <xdr:spPr>
                    <a:xfrm>
                      <a:off x="6208996" y="1905122"/>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95" name="Shape 95"/>
                    <xdr:cNvSpPr txBox="1"/>
                  </xdr:nvSpPr>
                  <xdr:spPr>
                    <a:xfrm>
                      <a:off x="6247245" y="1933464"/>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2</a:t>
                      </a:r>
                      <a:endParaRPr sz="1400"/>
                    </a:p>
                  </xdr:txBody>
                </xdr:sp>
              </xdr:grpSp>
              <xdr:cxnSp>
                <xdr:nvCxnSpPr>
                  <xdr:cNvPr id="96" name="Shape 96"/>
                  <xdr:cNvCxnSpPr/>
                </xdr:nvCxnSpPr>
                <xdr:spPr>
                  <a:xfrm rot="10800000">
                    <a:off x="6313118" y="2197767"/>
                    <a:ext cx="0" cy="144600"/>
                  </a:xfrm>
                  <a:prstGeom prst="straightConnector1">
                    <a:avLst/>
                  </a:prstGeom>
                  <a:noFill/>
                  <a:ln cap="flat" cmpd="sng" w="9525">
                    <a:solidFill>
                      <a:schemeClr val="dk1"/>
                    </a:solidFill>
                    <a:prstDash val="solid"/>
                    <a:round/>
                    <a:headEnd len="sm" w="sm" type="none"/>
                    <a:tailEnd len="sm" w="sm" type="none"/>
                  </a:ln>
                </xdr:spPr>
              </xdr:cxnSp>
              <xdr:cxnSp>
                <xdr:nvCxnSpPr>
                  <xdr:cNvPr id="97" name="Shape 97"/>
                  <xdr:cNvCxnSpPr/>
                </xdr:nvCxnSpPr>
                <xdr:spPr>
                  <a:xfrm rot="10800000">
                    <a:off x="7746703" y="2197767"/>
                    <a:ext cx="0" cy="144600"/>
                  </a:xfrm>
                  <a:prstGeom prst="straightConnector1">
                    <a:avLst/>
                  </a:prstGeom>
                  <a:noFill/>
                  <a:ln cap="flat" cmpd="sng" w="9525">
                    <a:solidFill>
                      <a:schemeClr val="dk1"/>
                    </a:solidFill>
                    <a:prstDash val="solid"/>
                    <a:round/>
                    <a:headEnd len="sm" w="sm" type="none"/>
                    <a:tailEnd len="sm" w="sm" type="none"/>
                  </a:ln>
                </xdr:spPr>
              </xdr:cxnSp>
              <xdr:grpSp>
                <xdr:nvGrpSpPr>
                  <xdr:cNvPr id="98" name="Shape 98"/>
                  <xdr:cNvGrpSpPr/>
                </xdr:nvGrpSpPr>
                <xdr:grpSpPr>
                  <a:xfrm>
                    <a:off x="5715000" y="2216841"/>
                    <a:ext cx="332400" cy="337781"/>
                    <a:chOff x="6210300" y="1902613"/>
                    <a:chExt cx="332400" cy="335400"/>
                  </a:xfrm>
                </xdr:grpSpPr>
                <xdr:sp>
                  <xdr:nvSpPr>
                    <xdr:cNvPr id="99" name="Shape 99"/>
                    <xdr:cNvSpPr/>
                  </xdr:nvSpPr>
                  <xdr:spPr>
                    <a:xfrm>
                      <a:off x="6210300" y="1902613"/>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00" name="Shape 100"/>
                    <xdr:cNvSpPr txBox="1"/>
                  </xdr:nvSpPr>
                  <xdr:spPr>
                    <a:xfrm>
                      <a:off x="6248276" y="1931357"/>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a:t>
                      </a:r>
                      <a:endParaRPr sz="1400"/>
                    </a:p>
                  </xdr:txBody>
                </xdr:sp>
              </xdr:grpSp>
              <xdr:grpSp>
                <xdr:nvGrpSpPr>
                  <xdr:cNvPr id="101" name="Shape 101"/>
                  <xdr:cNvGrpSpPr/>
                </xdr:nvGrpSpPr>
                <xdr:grpSpPr>
                  <a:xfrm>
                    <a:off x="5715000" y="2863373"/>
                    <a:ext cx="332400" cy="337781"/>
                    <a:chOff x="6210300" y="1903029"/>
                    <a:chExt cx="332400" cy="335400"/>
                  </a:xfrm>
                </xdr:grpSpPr>
                <xdr:sp>
                  <xdr:nvSpPr>
                    <xdr:cNvPr id="102" name="Shape 102"/>
                    <xdr:cNvSpPr/>
                  </xdr:nvSpPr>
                  <xdr:spPr>
                    <a:xfrm>
                      <a:off x="6210300" y="1903029"/>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03" name="Shape 103"/>
                    <xdr:cNvSpPr txBox="1"/>
                  </xdr:nvSpPr>
                  <xdr:spPr>
                    <a:xfrm>
                      <a:off x="6248276" y="1931773"/>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a:t>
                      </a:r>
                      <a:endParaRPr sz="1400"/>
                    </a:p>
                  </xdr:txBody>
                </xdr:sp>
              </xdr:grpSp>
              <xdr:cxnSp>
                <xdr:nvCxnSpPr>
                  <xdr:cNvPr id="104" name="Shape 104"/>
                  <xdr:cNvCxnSpPr/>
                </xdr:nvCxnSpPr>
                <xdr:spPr>
                  <a:xfrm rot="10800000">
                    <a:off x="6066149" y="2400266"/>
                    <a:ext cx="199500" cy="0"/>
                  </a:xfrm>
                  <a:prstGeom prst="straightConnector1">
                    <a:avLst/>
                  </a:prstGeom>
                  <a:noFill/>
                  <a:ln cap="flat" cmpd="sng" w="9525">
                    <a:solidFill>
                      <a:schemeClr val="dk1"/>
                    </a:solidFill>
                    <a:prstDash val="solid"/>
                    <a:round/>
                    <a:headEnd len="sm" w="sm" type="none"/>
                    <a:tailEnd len="sm" w="sm" type="none"/>
                  </a:ln>
                </xdr:spPr>
              </xdr:cxnSp>
              <xdr:cxnSp>
                <xdr:nvCxnSpPr>
                  <xdr:cNvPr id="105" name="Shape 105"/>
                  <xdr:cNvCxnSpPr/>
                </xdr:nvCxnSpPr>
                <xdr:spPr>
                  <a:xfrm rot="10800000">
                    <a:off x="6047161" y="3037148"/>
                    <a:ext cx="199500" cy="0"/>
                  </a:xfrm>
                  <a:prstGeom prst="straightConnector1">
                    <a:avLst/>
                  </a:prstGeom>
                  <a:noFill/>
                  <a:ln cap="flat" cmpd="sng" w="9525">
                    <a:solidFill>
                      <a:schemeClr val="dk1"/>
                    </a:solidFill>
                    <a:prstDash val="solid"/>
                    <a:round/>
                    <a:headEnd len="sm" w="sm" type="none"/>
                    <a:tailEnd len="sm" w="sm" type="none"/>
                  </a:ln>
                </xdr:spPr>
              </xdr:cxnSp>
            </xdr:grpSp>
          </xdr:grpSp>
        </xdr:grpSp>
      </xdr:grpSp>
    </xdr:grpSp>
    <xdr:clientData fLocksWithSheet="0"/>
  </xdr:oneCellAnchor>
  <xdr:oneCellAnchor>
    <xdr:from>
      <xdr:col>16</xdr:col>
      <xdr:colOff>695325</xdr:colOff>
      <xdr:row>43</xdr:row>
      <xdr:rowOff>190500</xdr:rowOff>
    </xdr:from>
    <xdr:ext cx="3009900" cy="75247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695325</xdr:colOff>
      <xdr:row>84</xdr:row>
      <xdr:rowOff>161925</xdr:rowOff>
    </xdr:from>
    <xdr:ext cx="3009900" cy="7048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695325</xdr:colOff>
      <xdr:row>129</xdr:row>
      <xdr:rowOff>180975</xdr:rowOff>
    </xdr:from>
    <xdr:ext cx="3009900" cy="7048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695325</xdr:colOff>
      <xdr:row>170</xdr:row>
      <xdr:rowOff>133350</xdr:rowOff>
    </xdr:from>
    <xdr:ext cx="3009900" cy="75247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695325</xdr:colOff>
      <xdr:row>214</xdr:row>
      <xdr:rowOff>161925</xdr:rowOff>
    </xdr:from>
    <xdr:ext cx="3009900" cy="7048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20</xdr:col>
      <xdr:colOff>123825</xdr:colOff>
      <xdr:row>0</xdr:row>
      <xdr:rowOff>114300</xdr:rowOff>
    </xdr:from>
    <xdr:ext cx="1047750" cy="6381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18</xdr:col>
      <xdr:colOff>647700</xdr:colOff>
      <xdr:row>0</xdr:row>
      <xdr:rowOff>114300</xdr:rowOff>
    </xdr:from>
    <xdr:ext cx="714375" cy="75247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16</xdr:col>
      <xdr:colOff>514350</xdr:colOff>
      <xdr:row>0</xdr:row>
      <xdr:rowOff>171450</xdr:rowOff>
    </xdr:from>
    <xdr:ext cx="1266825" cy="638175"/>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742950</xdr:colOff>
      <xdr:row>10</xdr:row>
      <xdr:rowOff>66675</xdr:rowOff>
    </xdr:from>
    <xdr:ext cx="2019300" cy="1333500"/>
    <xdr:grpSp>
      <xdr:nvGrpSpPr>
        <xdr:cNvPr id="2" name="Shape 2" title="Drawing"/>
        <xdr:cNvGrpSpPr/>
      </xdr:nvGrpSpPr>
      <xdr:grpSpPr>
        <a:xfrm>
          <a:off x="4336350" y="3113250"/>
          <a:ext cx="2019300" cy="1333500"/>
          <a:chOff x="4336350" y="3113250"/>
          <a:chExt cx="2019300" cy="1333500"/>
        </a:xfrm>
      </xdr:grpSpPr>
      <xdr:grpSp>
        <xdr:nvGrpSpPr>
          <xdr:cNvPr id="106" name="Shape 106"/>
          <xdr:cNvGrpSpPr/>
        </xdr:nvGrpSpPr>
        <xdr:grpSpPr>
          <a:xfrm>
            <a:off x="4336350" y="3113250"/>
            <a:ext cx="2019300" cy="1333500"/>
            <a:chOff x="4336350" y="3113250"/>
            <a:chExt cx="2019300" cy="1333500"/>
          </a:xfrm>
        </xdr:grpSpPr>
        <xdr:sp>
          <xdr:nvSpPr>
            <xdr:cNvPr id="4" name="Shape 4"/>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4336350" y="3113250"/>
              <a:ext cx="2019300" cy="1333500"/>
              <a:chOff x="4336350" y="3113250"/>
              <a:chExt cx="2019300" cy="1333500"/>
            </a:xfrm>
          </xdr:grpSpPr>
          <xdr:sp>
            <xdr:nvSpPr>
              <xdr:cNvPr id="108" name="Shape 108"/>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4336350" y="3113250"/>
                <a:ext cx="2019300" cy="1333500"/>
                <a:chOff x="4336350" y="3113250"/>
                <a:chExt cx="2019300" cy="1333500"/>
              </a:xfrm>
            </xdr:grpSpPr>
            <xdr:sp>
              <xdr:nvSpPr>
                <xdr:cNvPr id="110" name="Shape 110"/>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336350" y="3113250"/>
                  <a:ext cx="2019300" cy="1333500"/>
                  <a:chOff x="5715000" y="1850231"/>
                  <a:chExt cx="2183606" cy="1350963"/>
                </a:xfrm>
              </xdr:grpSpPr>
              <xdr:sp>
                <xdr:nvSpPr>
                  <xdr:cNvPr id="112" name="Shape 112"/>
                  <xdr:cNvSpPr/>
                </xdr:nvSpPr>
                <xdr:spPr>
                  <a:xfrm>
                    <a:off x="5715000" y="1850231"/>
                    <a:ext cx="2183600" cy="1350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113" name="Shape 113"/>
                  <xdr:cNvSpPr/>
                </xdr:nvSpPr>
                <xdr:spPr>
                  <a:xfrm>
                    <a:off x="6322612" y="2409916"/>
                    <a:ext cx="1405103" cy="636883"/>
                  </a:xfrm>
                  <a:prstGeom prst="rect">
                    <a:avLst/>
                  </a:prstGeom>
                  <a:no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grpSp>
                <xdr:nvGrpSpPr>
                  <xdr:cNvPr id="114" name="Shape 114"/>
                  <xdr:cNvGrpSpPr/>
                </xdr:nvGrpSpPr>
                <xdr:grpSpPr>
                  <a:xfrm>
                    <a:off x="6151721" y="1850231"/>
                    <a:ext cx="332288" cy="337741"/>
                    <a:chOff x="6208861" y="1905000"/>
                    <a:chExt cx="334678" cy="330655"/>
                  </a:xfrm>
                </xdr:grpSpPr>
                <xdr:sp>
                  <xdr:nvSpPr>
                    <xdr:cNvPr id="115" name="Shape 115"/>
                    <xdr:cNvSpPr/>
                  </xdr:nvSpPr>
                  <xdr:spPr>
                    <a:xfrm>
                      <a:off x="6208861" y="1905000"/>
                      <a:ext cx="334678" cy="330655"/>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16" name="Shape 116"/>
                    <xdr:cNvSpPr txBox="1"/>
                  </xdr:nvSpPr>
                  <xdr:spPr>
                    <a:xfrm>
                      <a:off x="6247110" y="1933342"/>
                      <a:ext cx="258180" cy="273972"/>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1</a:t>
                      </a:r>
                      <a:endParaRPr sz="1400"/>
                    </a:p>
                  </xdr:txBody>
                </xdr:sp>
              </xdr:grpSp>
              <xdr:grpSp>
                <xdr:nvGrpSpPr>
                  <xdr:cNvPr id="117" name="Shape 117"/>
                  <xdr:cNvGrpSpPr/>
                </xdr:nvGrpSpPr>
                <xdr:grpSpPr>
                  <a:xfrm>
                    <a:off x="7566318" y="1859881"/>
                    <a:ext cx="332288" cy="337741"/>
                    <a:chOff x="6208996" y="1905122"/>
                    <a:chExt cx="334679" cy="330655"/>
                  </a:xfrm>
                </xdr:grpSpPr>
                <xdr:sp>
                  <xdr:nvSpPr>
                    <xdr:cNvPr id="118" name="Shape 118"/>
                    <xdr:cNvSpPr/>
                  </xdr:nvSpPr>
                  <xdr:spPr>
                    <a:xfrm>
                      <a:off x="6208996" y="1905122"/>
                      <a:ext cx="334679" cy="330655"/>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19" name="Shape 119"/>
                    <xdr:cNvSpPr txBox="1"/>
                  </xdr:nvSpPr>
                  <xdr:spPr>
                    <a:xfrm>
                      <a:off x="6247245" y="1933464"/>
                      <a:ext cx="258181" cy="273972"/>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2</a:t>
                      </a:r>
                      <a:endParaRPr sz="1400"/>
                    </a:p>
                  </xdr:txBody>
                </xdr:sp>
              </xdr:grpSp>
              <xdr:cxnSp>
                <xdr:nvCxnSpPr>
                  <xdr:cNvPr id="120" name="Shape 120"/>
                  <xdr:cNvCxnSpPr/>
                </xdr:nvCxnSpPr>
                <xdr:spPr>
                  <a:xfrm rot="10800000">
                    <a:off x="6313118" y="2197621"/>
                    <a:ext cx="0" cy="144746"/>
                  </a:xfrm>
                  <a:prstGeom prst="straightConnector1">
                    <a:avLst/>
                  </a:prstGeom>
                  <a:noFill/>
                  <a:ln cap="flat" cmpd="sng" w="9525">
                    <a:solidFill>
                      <a:schemeClr val="dk1"/>
                    </a:solidFill>
                    <a:prstDash val="solid"/>
                    <a:round/>
                    <a:headEnd len="sm" w="sm" type="none"/>
                    <a:tailEnd len="sm" w="sm" type="none"/>
                  </a:ln>
                </xdr:spPr>
              </xdr:cxnSp>
              <xdr:cxnSp>
                <xdr:nvCxnSpPr>
                  <xdr:cNvPr id="121" name="Shape 121"/>
                  <xdr:cNvCxnSpPr/>
                </xdr:nvCxnSpPr>
                <xdr:spPr>
                  <a:xfrm rot="10800000">
                    <a:off x="7746703" y="2197621"/>
                    <a:ext cx="0" cy="144746"/>
                  </a:xfrm>
                  <a:prstGeom prst="straightConnector1">
                    <a:avLst/>
                  </a:prstGeom>
                  <a:noFill/>
                  <a:ln cap="flat" cmpd="sng" w="9525">
                    <a:solidFill>
                      <a:schemeClr val="dk1"/>
                    </a:solidFill>
                    <a:prstDash val="solid"/>
                    <a:round/>
                    <a:headEnd len="sm" w="sm" type="none"/>
                    <a:tailEnd len="sm" w="sm" type="none"/>
                  </a:ln>
                </xdr:spPr>
              </xdr:cxnSp>
              <xdr:grpSp>
                <xdr:nvGrpSpPr>
                  <xdr:cNvPr id="122" name="Shape 122"/>
                  <xdr:cNvGrpSpPr/>
                </xdr:nvGrpSpPr>
                <xdr:grpSpPr>
                  <a:xfrm>
                    <a:off x="5715000" y="2216921"/>
                    <a:ext cx="332288" cy="337741"/>
                    <a:chOff x="6210300" y="1902613"/>
                    <a:chExt cx="332288" cy="335346"/>
                  </a:xfrm>
                </xdr:grpSpPr>
                <xdr:sp>
                  <xdr:nvSpPr>
                    <xdr:cNvPr id="123" name="Shape 123"/>
                    <xdr:cNvSpPr/>
                  </xdr:nvSpPr>
                  <xdr:spPr>
                    <a:xfrm>
                      <a:off x="6210300" y="1902613"/>
                      <a:ext cx="332288" cy="335346"/>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24" name="Shape 124"/>
                    <xdr:cNvSpPr txBox="1"/>
                  </xdr:nvSpPr>
                  <xdr:spPr>
                    <a:xfrm>
                      <a:off x="6248276" y="1931357"/>
                      <a:ext cx="256336" cy="277858"/>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a:t>
                      </a:r>
                      <a:endParaRPr sz="1400"/>
                    </a:p>
                  </xdr:txBody>
                </xdr:sp>
              </xdr:grpSp>
              <xdr:grpSp>
                <xdr:nvGrpSpPr>
                  <xdr:cNvPr id="125" name="Shape 125"/>
                  <xdr:cNvGrpSpPr/>
                </xdr:nvGrpSpPr>
                <xdr:grpSpPr>
                  <a:xfrm>
                    <a:off x="5715000" y="2863453"/>
                    <a:ext cx="332288" cy="337741"/>
                    <a:chOff x="6210300" y="1903029"/>
                    <a:chExt cx="332288" cy="335346"/>
                  </a:xfrm>
                </xdr:grpSpPr>
                <xdr:sp>
                  <xdr:nvSpPr>
                    <xdr:cNvPr id="126" name="Shape 126"/>
                    <xdr:cNvSpPr/>
                  </xdr:nvSpPr>
                  <xdr:spPr>
                    <a:xfrm>
                      <a:off x="6210300" y="1903029"/>
                      <a:ext cx="332288" cy="335346"/>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27" name="Shape 127"/>
                    <xdr:cNvSpPr txBox="1"/>
                  </xdr:nvSpPr>
                  <xdr:spPr>
                    <a:xfrm>
                      <a:off x="6248276" y="1931773"/>
                      <a:ext cx="256336" cy="277858"/>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a:t>
                      </a:r>
                      <a:endParaRPr sz="1400"/>
                    </a:p>
                  </xdr:txBody>
                </xdr:sp>
              </xdr:grpSp>
              <xdr:cxnSp>
                <xdr:nvCxnSpPr>
                  <xdr:cNvPr id="128" name="Shape 128"/>
                  <xdr:cNvCxnSpPr/>
                </xdr:nvCxnSpPr>
                <xdr:spPr>
                  <a:xfrm rot="10800000">
                    <a:off x="6066276" y="2400266"/>
                    <a:ext cx="199373" cy="0"/>
                  </a:xfrm>
                  <a:prstGeom prst="straightConnector1">
                    <a:avLst/>
                  </a:prstGeom>
                  <a:noFill/>
                  <a:ln cap="flat" cmpd="sng" w="9525">
                    <a:solidFill>
                      <a:schemeClr val="dk1"/>
                    </a:solidFill>
                    <a:prstDash val="solid"/>
                    <a:round/>
                    <a:headEnd len="sm" w="sm" type="none"/>
                    <a:tailEnd len="sm" w="sm" type="none"/>
                  </a:ln>
                </xdr:spPr>
              </xdr:cxnSp>
              <xdr:cxnSp>
                <xdr:nvCxnSpPr>
                  <xdr:cNvPr id="129" name="Shape 129"/>
                  <xdr:cNvCxnSpPr/>
                </xdr:nvCxnSpPr>
                <xdr:spPr>
                  <a:xfrm rot="10800000">
                    <a:off x="6047288" y="3037148"/>
                    <a:ext cx="199373" cy="0"/>
                  </a:xfrm>
                  <a:prstGeom prst="straightConnector1">
                    <a:avLst/>
                  </a:prstGeom>
                  <a:noFill/>
                  <a:ln cap="flat" cmpd="sng" w="9525">
                    <a:solidFill>
                      <a:schemeClr val="dk1"/>
                    </a:solidFill>
                    <a:prstDash val="solid"/>
                    <a:round/>
                    <a:headEnd len="sm" w="sm" type="none"/>
                    <a:tailEnd len="sm" w="sm" type="none"/>
                  </a:ln>
                </xdr:spPr>
              </xdr:cxnSp>
            </xdr:grpSp>
          </xdr:grpSp>
        </xdr:grpSp>
      </xdr:grpSp>
    </xdr:grpSp>
    <xdr:clientData fLocksWithSheet="0"/>
  </xdr:oneCellAnchor>
  <xdr:oneCellAnchor>
    <xdr:from>
      <xdr:col>16</xdr:col>
      <xdr:colOff>19050</xdr:colOff>
      <xdr:row>96</xdr:row>
      <xdr:rowOff>19050</xdr:rowOff>
    </xdr:from>
    <xdr:ext cx="2038350" cy="1352550"/>
    <xdr:grpSp>
      <xdr:nvGrpSpPr>
        <xdr:cNvPr id="30" name="Shape 30" title="Drawing"/>
        <xdr:cNvGrpSpPr/>
      </xdr:nvGrpSpPr>
      <xdr:grpSpPr>
        <a:xfrm>
          <a:off x="4336350" y="3113242"/>
          <a:ext cx="2020036" cy="1333554"/>
          <a:chOff x="4336350" y="3113242"/>
          <a:chExt cx="2020036" cy="1333554"/>
        </a:xfrm>
      </xdr:grpSpPr>
      <xdr:grpSp>
        <xdr:nvGrpSpPr>
          <xdr:cNvPr id="130" name="Shape 130"/>
          <xdr:cNvGrpSpPr/>
        </xdr:nvGrpSpPr>
        <xdr:grpSpPr>
          <a:xfrm>
            <a:off x="4336350" y="3113242"/>
            <a:ext cx="2020036" cy="1333554"/>
            <a:chOff x="4336350" y="3113242"/>
            <a:chExt cx="2020036" cy="1333554"/>
          </a:xfrm>
        </xdr:grpSpPr>
        <xdr:sp>
          <xdr:nvSpPr>
            <xdr:cNvPr id="131" name="Shape 131"/>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2" name="Shape 132"/>
            <xdr:cNvGrpSpPr/>
          </xdr:nvGrpSpPr>
          <xdr:grpSpPr>
            <a:xfrm>
              <a:off x="4336350" y="3113242"/>
              <a:ext cx="2020036" cy="1333554"/>
              <a:chOff x="4336350" y="3113242"/>
              <a:chExt cx="2020036" cy="1333554"/>
            </a:xfrm>
          </xdr:grpSpPr>
          <xdr:sp>
            <xdr:nvSpPr>
              <xdr:cNvPr id="133" name="Shape 133"/>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4" name="Shape 134"/>
              <xdr:cNvGrpSpPr/>
            </xdr:nvGrpSpPr>
            <xdr:grpSpPr>
              <a:xfrm>
                <a:off x="4336350" y="3113242"/>
                <a:ext cx="2020036" cy="1333554"/>
                <a:chOff x="4336350" y="3113242"/>
                <a:chExt cx="2020036" cy="1333554"/>
              </a:xfrm>
            </xdr:grpSpPr>
            <xdr:sp>
              <xdr:nvSpPr>
                <xdr:cNvPr id="135" name="Shape 135"/>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6" name="Shape 136"/>
                <xdr:cNvGrpSpPr/>
              </xdr:nvGrpSpPr>
              <xdr:grpSpPr>
                <a:xfrm>
                  <a:off x="4336609" y="3113242"/>
                  <a:ext cx="2019777" cy="1333554"/>
                  <a:chOff x="5715000" y="1850173"/>
                  <a:chExt cx="2184015" cy="1350981"/>
                </a:xfrm>
              </xdr:grpSpPr>
              <xdr:sp>
                <xdr:nvSpPr>
                  <xdr:cNvPr id="137" name="Shape 137"/>
                  <xdr:cNvSpPr/>
                </xdr:nvSpPr>
                <xdr:spPr>
                  <a:xfrm>
                    <a:off x="5715000" y="1850231"/>
                    <a:ext cx="2183700" cy="135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138" name="Shape 138"/>
                  <xdr:cNvSpPr/>
                </xdr:nvSpPr>
                <xdr:spPr>
                  <a:xfrm>
                    <a:off x="6322612" y="2409916"/>
                    <a:ext cx="1405200" cy="636900"/>
                  </a:xfrm>
                  <a:prstGeom prst="rect">
                    <a:avLst/>
                  </a:prstGeom>
                  <a:no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grpSp>
                <xdr:nvGrpSpPr>
                  <xdr:cNvPr id="139" name="Shape 139"/>
                  <xdr:cNvGrpSpPr/>
                </xdr:nvGrpSpPr>
                <xdr:grpSpPr>
                  <a:xfrm>
                    <a:off x="6151977" y="1850173"/>
                    <a:ext cx="332423" cy="337675"/>
                    <a:chOff x="6208861" y="1905000"/>
                    <a:chExt cx="334800" cy="330600"/>
                  </a:xfrm>
                </xdr:grpSpPr>
                <xdr:sp>
                  <xdr:nvSpPr>
                    <xdr:cNvPr id="140" name="Shape 140"/>
                    <xdr:cNvSpPr/>
                  </xdr:nvSpPr>
                  <xdr:spPr>
                    <a:xfrm>
                      <a:off x="6208861" y="1905000"/>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41" name="Shape 141"/>
                    <xdr:cNvSpPr txBox="1"/>
                  </xdr:nvSpPr>
                  <xdr:spPr>
                    <a:xfrm>
                      <a:off x="6247110" y="1933342"/>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1</a:t>
                      </a:r>
                      <a:endParaRPr sz="1400"/>
                    </a:p>
                  </xdr:txBody>
                </xdr:sp>
              </xdr:grpSp>
              <xdr:grpSp>
                <xdr:nvGrpSpPr>
                  <xdr:cNvPr id="142" name="Shape 142"/>
                  <xdr:cNvGrpSpPr/>
                </xdr:nvGrpSpPr>
                <xdr:grpSpPr>
                  <a:xfrm>
                    <a:off x="7566592" y="1859823"/>
                    <a:ext cx="332423" cy="337675"/>
                    <a:chOff x="6208996" y="1905122"/>
                    <a:chExt cx="334800" cy="330600"/>
                  </a:xfrm>
                </xdr:grpSpPr>
                <xdr:sp>
                  <xdr:nvSpPr>
                    <xdr:cNvPr id="143" name="Shape 143"/>
                    <xdr:cNvSpPr/>
                  </xdr:nvSpPr>
                  <xdr:spPr>
                    <a:xfrm>
                      <a:off x="6208996" y="1905122"/>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44" name="Shape 144"/>
                    <xdr:cNvSpPr txBox="1"/>
                  </xdr:nvSpPr>
                  <xdr:spPr>
                    <a:xfrm>
                      <a:off x="6247245" y="1933464"/>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2</a:t>
                      </a:r>
                      <a:endParaRPr sz="1400"/>
                    </a:p>
                  </xdr:txBody>
                </xdr:sp>
              </xdr:grpSp>
              <xdr:cxnSp>
                <xdr:nvCxnSpPr>
                  <xdr:cNvPr id="145" name="Shape 145"/>
                  <xdr:cNvCxnSpPr/>
                </xdr:nvCxnSpPr>
                <xdr:spPr>
                  <a:xfrm rot="10800000">
                    <a:off x="6313118" y="2197767"/>
                    <a:ext cx="0" cy="144600"/>
                  </a:xfrm>
                  <a:prstGeom prst="straightConnector1">
                    <a:avLst/>
                  </a:prstGeom>
                  <a:noFill/>
                  <a:ln cap="flat" cmpd="sng" w="9525">
                    <a:solidFill>
                      <a:schemeClr val="dk1"/>
                    </a:solidFill>
                    <a:prstDash val="solid"/>
                    <a:round/>
                    <a:headEnd len="sm" w="sm" type="none"/>
                    <a:tailEnd len="sm" w="sm" type="none"/>
                  </a:ln>
                </xdr:spPr>
              </xdr:cxnSp>
              <xdr:cxnSp>
                <xdr:nvCxnSpPr>
                  <xdr:cNvPr id="146" name="Shape 146"/>
                  <xdr:cNvCxnSpPr/>
                </xdr:nvCxnSpPr>
                <xdr:spPr>
                  <a:xfrm rot="10800000">
                    <a:off x="7746703" y="2197767"/>
                    <a:ext cx="0" cy="144600"/>
                  </a:xfrm>
                  <a:prstGeom prst="straightConnector1">
                    <a:avLst/>
                  </a:prstGeom>
                  <a:noFill/>
                  <a:ln cap="flat" cmpd="sng" w="9525">
                    <a:solidFill>
                      <a:schemeClr val="dk1"/>
                    </a:solidFill>
                    <a:prstDash val="solid"/>
                    <a:round/>
                    <a:headEnd len="sm" w="sm" type="none"/>
                    <a:tailEnd len="sm" w="sm" type="none"/>
                  </a:ln>
                </xdr:spPr>
              </xdr:cxnSp>
              <xdr:grpSp>
                <xdr:nvGrpSpPr>
                  <xdr:cNvPr id="147" name="Shape 147"/>
                  <xdr:cNvGrpSpPr/>
                </xdr:nvGrpSpPr>
                <xdr:grpSpPr>
                  <a:xfrm>
                    <a:off x="5715000" y="2216841"/>
                    <a:ext cx="332400" cy="337781"/>
                    <a:chOff x="6210300" y="1902613"/>
                    <a:chExt cx="332400" cy="335400"/>
                  </a:xfrm>
                </xdr:grpSpPr>
                <xdr:sp>
                  <xdr:nvSpPr>
                    <xdr:cNvPr id="148" name="Shape 148"/>
                    <xdr:cNvSpPr/>
                  </xdr:nvSpPr>
                  <xdr:spPr>
                    <a:xfrm>
                      <a:off x="6210300" y="1902613"/>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49" name="Shape 149"/>
                    <xdr:cNvSpPr txBox="1"/>
                  </xdr:nvSpPr>
                  <xdr:spPr>
                    <a:xfrm>
                      <a:off x="6248276" y="1931357"/>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a:t>
                      </a:r>
                      <a:endParaRPr sz="1400"/>
                    </a:p>
                  </xdr:txBody>
                </xdr:sp>
              </xdr:grpSp>
              <xdr:grpSp>
                <xdr:nvGrpSpPr>
                  <xdr:cNvPr id="150" name="Shape 150"/>
                  <xdr:cNvGrpSpPr/>
                </xdr:nvGrpSpPr>
                <xdr:grpSpPr>
                  <a:xfrm>
                    <a:off x="5715000" y="2863373"/>
                    <a:ext cx="332400" cy="337781"/>
                    <a:chOff x="6210300" y="1903029"/>
                    <a:chExt cx="332400" cy="335400"/>
                  </a:xfrm>
                </xdr:grpSpPr>
                <xdr:sp>
                  <xdr:nvSpPr>
                    <xdr:cNvPr id="151" name="Shape 151"/>
                    <xdr:cNvSpPr/>
                  </xdr:nvSpPr>
                  <xdr:spPr>
                    <a:xfrm>
                      <a:off x="6210300" y="1903029"/>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52" name="Shape 152"/>
                    <xdr:cNvSpPr txBox="1"/>
                  </xdr:nvSpPr>
                  <xdr:spPr>
                    <a:xfrm>
                      <a:off x="6248276" y="1931773"/>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a:t>
                      </a:r>
                      <a:endParaRPr sz="1400"/>
                    </a:p>
                  </xdr:txBody>
                </xdr:sp>
              </xdr:grpSp>
              <xdr:cxnSp>
                <xdr:nvCxnSpPr>
                  <xdr:cNvPr id="153" name="Shape 153"/>
                  <xdr:cNvCxnSpPr/>
                </xdr:nvCxnSpPr>
                <xdr:spPr>
                  <a:xfrm rot="10800000">
                    <a:off x="6066149" y="2400266"/>
                    <a:ext cx="199500" cy="0"/>
                  </a:xfrm>
                  <a:prstGeom prst="straightConnector1">
                    <a:avLst/>
                  </a:prstGeom>
                  <a:noFill/>
                  <a:ln cap="flat" cmpd="sng" w="9525">
                    <a:solidFill>
                      <a:schemeClr val="dk1"/>
                    </a:solidFill>
                    <a:prstDash val="solid"/>
                    <a:round/>
                    <a:headEnd len="sm" w="sm" type="none"/>
                    <a:tailEnd len="sm" w="sm" type="none"/>
                  </a:ln>
                </xdr:spPr>
              </xdr:cxnSp>
              <xdr:cxnSp>
                <xdr:nvCxnSpPr>
                  <xdr:cNvPr id="154" name="Shape 154"/>
                  <xdr:cNvCxnSpPr/>
                </xdr:nvCxnSpPr>
                <xdr:spPr>
                  <a:xfrm rot="10800000">
                    <a:off x="6047161" y="3037148"/>
                    <a:ext cx="199500" cy="0"/>
                  </a:xfrm>
                  <a:prstGeom prst="straightConnector1">
                    <a:avLst/>
                  </a:prstGeom>
                  <a:noFill/>
                  <a:ln cap="flat" cmpd="sng" w="9525">
                    <a:solidFill>
                      <a:schemeClr val="dk1"/>
                    </a:solidFill>
                    <a:prstDash val="solid"/>
                    <a:round/>
                    <a:headEnd len="sm" w="sm" type="none"/>
                    <a:tailEnd len="sm" w="sm" type="none"/>
                  </a:ln>
                </xdr:spPr>
              </xdr:cxnSp>
            </xdr:grpSp>
          </xdr:grpSp>
        </xdr:grpSp>
      </xdr:grpSp>
    </xdr:grpSp>
    <xdr:clientData fLocksWithSheet="0"/>
  </xdr:oneCellAnchor>
  <xdr:oneCellAnchor>
    <xdr:from>
      <xdr:col>15</xdr:col>
      <xdr:colOff>733425</xdr:colOff>
      <xdr:row>180</xdr:row>
      <xdr:rowOff>200025</xdr:rowOff>
    </xdr:from>
    <xdr:ext cx="2038350" cy="1352550"/>
    <xdr:grpSp>
      <xdr:nvGrpSpPr>
        <xdr:cNvPr id="30" name="Shape 30" title="Drawing"/>
        <xdr:cNvGrpSpPr/>
      </xdr:nvGrpSpPr>
      <xdr:grpSpPr>
        <a:xfrm>
          <a:off x="4336350" y="3113242"/>
          <a:ext cx="2020036" cy="1333554"/>
          <a:chOff x="4336350" y="3113242"/>
          <a:chExt cx="2020036" cy="1333554"/>
        </a:xfrm>
      </xdr:grpSpPr>
      <xdr:grpSp>
        <xdr:nvGrpSpPr>
          <xdr:cNvPr id="155" name="Shape 155"/>
          <xdr:cNvGrpSpPr/>
        </xdr:nvGrpSpPr>
        <xdr:grpSpPr>
          <a:xfrm>
            <a:off x="4336350" y="3113242"/>
            <a:ext cx="2020036" cy="1333554"/>
            <a:chOff x="4336350" y="3113242"/>
            <a:chExt cx="2020036" cy="1333554"/>
          </a:xfrm>
        </xdr:grpSpPr>
        <xdr:sp>
          <xdr:nvSpPr>
            <xdr:cNvPr id="156" name="Shape 156"/>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4336350" y="3113242"/>
              <a:ext cx="2020036" cy="1333554"/>
              <a:chOff x="4336350" y="3113242"/>
              <a:chExt cx="2020036" cy="1333554"/>
            </a:xfrm>
          </xdr:grpSpPr>
          <xdr:sp>
            <xdr:nvSpPr>
              <xdr:cNvPr id="158" name="Shape 158"/>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4336350" y="3113242"/>
                <a:ext cx="2020036" cy="1333554"/>
                <a:chOff x="4336350" y="3113242"/>
                <a:chExt cx="2020036" cy="1333554"/>
              </a:xfrm>
            </xdr:grpSpPr>
            <xdr:sp>
              <xdr:nvSpPr>
                <xdr:cNvPr id="160" name="Shape 160"/>
                <xdr:cNvSpPr/>
              </xdr:nvSpPr>
              <xdr:spPr>
                <a:xfrm>
                  <a:off x="4336350" y="3113250"/>
                  <a:ext cx="20193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336609" y="3113242"/>
                  <a:ext cx="2019777" cy="1333554"/>
                  <a:chOff x="5715000" y="1850173"/>
                  <a:chExt cx="2184015" cy="1350981"/>
                </a:xfrm>
              </xdr:grpSpPr>
              <xdr:sp>
                <xdr:nvSpPr>
                  <xdr:cNvPr id="162" name="Shape 162"/>
                  <xdr:cNvSpPr/>
                </xdr:nvSpPr>
                <xdr:spPr>
                  <a:xfrm>
                    <a:off x="5715000" y="1850231"/>
                    <a:ext cx="2183700" cy="135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163" name="Shape 163"/>
                  <xdr:cNvSpPr/>
                </xdr:nvSpPr>
                <xdr:spPr>
                  <a:xfrm>
                    <a:off x="6322612" y="2409916"/>
                    <a:ext cx="1405200" cy="636900"/>
                  </a:xfrm>
                  <a:prstGeom prst="rect">
                    <a:avLst/>
                  </a:prstGeom>
                  <a:no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grpSp>
                <xdr:nvGrpSpPr>
                  <xdr:cNvPr id="164" name="Shape 164"/>
                  <xdr:cNvGrpSpPr/>
                </xdr:nvGrpSpPr>
                <xdr:grpSpPr>
                  <a:xfrm>
                    <a:off x="6151977" y="1850173"/>
                    <a:ext cx="332423" cy="337675"/>
                    <a:chOff x="6208861" y="1905000"/>
                    <a:chExt cx="334800" cy="330600"/>
                  </a:xfrm>
                </xdr:grpSpPr>
                <xdr:sp>
                  <xdr:nvSpPr>
                    <xdr:cNvPr id="165" name="Shape 165"/>
                    <xdr:cNvSpPr/>
                  </xdr:nvSpPr>
                  <xdr:spPr>
                    <a:xfrm>
                      <a:off x="6208861" y="1905000"/>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66" name="Shape 166"/>
                    <xdr:cNvSpPr txBox="1"/>
                  </xdr:nvSpPr>
                  <xdr:spPr>
                    <a:xfrm>
                      <a:off x="6247110" y="1933342"/>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1</a:t>
                      </a:r>
                      <a:endParaRPr sz="1400"/>
                    </a:p>
                  </xdr:txBody>
                </xdr:sp>
              </xdr:grpSp>
              <xdr:grpSp>
                <xdr:nvGrpSpPr>
                  <xdr:cNvPr id="167" name="Shape 167"/>
                  <xdr:cNvGrpSpPr/>
                </xdr:nvGrpSpPr>
                <xdr:grpSpPr>
                  <a:xfrm>
                    <a:off x="7566592" y="1859823"/>
                    <a:ext cx="332423" cy="337675"/>
                    <a:chOff x="6208996" y="1905122"/>
                    <a:chExt cx="334800" cy="330600"/>
                  </a:xfrm>
                </xdr:grpSpPr>
                <xdr:sp>
                  <xdr:nvSpPr>
                    <xdr:cNvPr id="168" name="Shape 168"/>
                    <xdr:cNvSpPr/>
                  </xdr:nvSpPr>
                  <xdr:spPr>
                    <a:xfrm>
                      <a:off x="6208996" y="1905122"/>
                      <a:ext cx="334800" cy="3306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69" name="Shape 169"/>
                    <xdr:cNvSpPr txBox="1"/>
                  </xdr:nvSpPr>
                  <xdr:spPr>
                    <a:xfrm>
                      <a:off x="6247245" y="1933464"/>
                      <a:ext cx="258300" cy="273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2</a:t>
                      </a:r>
                      <a:endParaRPr sz="1400"/>
                    </a:p>
                  </xdr:txBody>
                </xdr:sp>
              </xdr:grpSp>
              <xdr:cxnSp>
                <xdr:nvCxnSpPr>
                  <xdr:cNvPr id="170" name="Shape 170"/>
                  <xdr:cNvCxnSpPr/>
                </xdr:nvCxnSpPr>
                <xdr:spPr>
                  <a:xfrm rot="10800000">
                    <a:off x="6313118" y="2197767"/>
                    <a:ext cx="0" cy="144600"/>
                  </a:xfrm>
                  <a:prstGeom prst="straightConnector1">
                    <a:avLst/>
                  </a:prstGeom>
                  <a:noFill/>
                  <a:ln cap="flat" cmpd="sng" w="9525">
                    <a:solidFill>
                      <a:schemeClr val="dk1"/>
                    </a:solidFill>
                    <a:prstDash val="solid"/>
                    <a:round/>
                    <a:headEnd len="sm" w="sm" type="none"/>
                    <a:tailEnd len="sm" w="sm" type="none"/>
                  </a:ln>
                </xdr:spPr>
              </xdr:cxnSp>
              <xdr:cxnSp>
                <xdr:nvCxnSpPr>
                  <xdr:cNvPr id="171" name="Shape 171"/>
                  <xdr:cNvCxnSpPr/>
                </xdr:nvCxnSpPr>
                <xdr:spPr>
                  <a:xfrm rot="10800000">
                    <a:off x="7746703" y="2197767"/>
                    <a:ext cx="0" cy="144600"/>
                  </a:xfrm>
                  <a:prstGeom prst="straightConnector1">
                    <a:avLst/>
                  </a:prstGeom>
                  <a:noFill/>
                  <a:ln cap="flat" cmpd="sng" w="9525">
                    <a:solidFill>
                      <a:schemeClr val="dk1"/>
                    </a:solidFill>
                    <a:prstDash val="solid"/>
                    <a:round/>
                    <a:headEnd len="sm" w="sm" type="none"/>
                    <a:tailEnd len="sm" w="sm" type="none"/>
                  </a:ln>
                </xdr:spPr>
              </xdr:cxnSp>
              <xdr:grpSp>
                <xdr:nvGrpSpPr>
                  <xdr:cNvPr id="172" name="Shape 172"/>
                  <xdr:cNvGrpSpPr/>
                </xdr:nvGrpSpPr>
                <xdr:grpSpPr>
                  <a:xfrm>
                    <a:off x="5715000" y="2216841"/>
                    <a:ext cx="332400" cy="337781"/>
                    <a:chOff x="6210300" y="1902613"/>
                    <a:chExt cx="332400" cy="335400"/>
                  </a:xfrm>
                </xdr:grpSpPr>
                <xdr:sp>
                  <xdr:nvSpPr>
                    <xdr:cNvPr id="173" name="Shape 173"/>
                    <xdr:cNvSpPr/>
                  </xdr:nvSpPr>
                  <xdr:spPr>
                    <a:xfrm>
                      <a:off x="6210300" y="1902613"/>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74" name="Shape 174"/>
                    <xdr:cNvSpPr txBox="1"/>
                  </xdr:nvSpPr>
                  <xdr:spPr>
                    <a:xfrm>
                      <a:off x="6248276" y="1931357"/>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a:t>
                      </a:r>
                      <a:endParaRPr sz="1400"/>
                    </a:p>
                  </xdr:txBody>
                </xdr:sp>
              </xdr:grpSp>
              <xdr:grpSp>
                <xdr:nvGrpSpPr>
                  <xdr:cNvPr id="175" name="Shape 175"/>
                  <xdr:cNvGrpSpPr/>
                </xdr:nvGrpSpPr>
                <xdr:grpSpPr>
                  <a:xfrm>
                    <a:off x="5715000" y="2863373"/>
                    <a:ext cx="332400" cy="337781"/>
                    <a:chOff x="6210300" y="1903029"/>
                    <a:chExt cx="332400" cy="335400"/>
                  </a:xfrm>
                </xdr:grpSpPr>
                <xdr:sp>
                  <xdr:nvSpPr>
                    <xdr:cNvPr id="176" name="Shape 176"/>
                    <xdr:cNvSpPr/>
                  </xdr:nvSpPr>
                  <xdr:spPr>
                    <a:xfrm>
                      <a:off x="6210300" y="1903029"/>
                      <a:ext cx="332400" cy="335400"/>
                    </a:xfrm>
                    <a:prstGeom prst="ellipse">
                      <a:avLst/>
                    </a:prstGeom>
                    <a:no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177" name="Shape 177"/>
                    <xdr:cNvSpPr txBox="1"/>
                  </xdr:nvSpPr>
                  <xdr:spPr>
                    <a:xfrm>
                      <a:off x="6248276" y="1931773"/>
                      <a:ext cx="256200" cy="277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a:t>
                      </a:r>
                      <a:endParaRPr sz="1400"/>
                    </a:p>
                  </xdr:txBody>
                </xdr:sp>
              </xdr:grpSp>
              <xdr:cxnSp>
                <xdr:nvCxnSpPr>
                  <xdr:cNvPr id="178" name="Shape 178"/>
                  <xdr:cNvCxnSpPr/>
                </xdr:nvCxnSpPr>
                <xdr:spPr>
                  <a:xfrm rot="10800000">
                    <a:off x="6066149" y="2400266"/>
                    <a:ext cx="199500" cy="0"/>
                  </a:xfrm>
                  <a:prstGeom prst="straightConnector1">
                    <a:avLst/>
                  </a:prstGeom>
                  <a:noFill/>
                  <a:ln cap="flat" cmpd="sng" w="9525">
                    <a:solidFill>
                      <a:schemeClr val="dk1"/>
                    </a:solidFill>
                    <a:prstDash val="solid"/>
                    <a:round/>
                    <a:headEnd len="sm" w="sm" type="none"/>
                    <a:tailEnd len="sm" w="sm" type="none"/>
                  </a:ln>
                </xdr:spPr>
              </xdr:cxnSp>
              <xdr:cxnSp>
                <xdr:nvCxnSpPr>
                  <xdr:cNvPr id="179" name="Shape 179"/>
                  <xdr:cNvCxnSpPr/>
                </xdr:nvCxnSpPr>
                <xdr:spPr>
                  <a:xfrm rot="10800000">
                    <a:off x="6047161" y="3037148"/>
                    <a:ext cx="199500" cy="0"/>
                  </a:xfrm>
                  <a:prstGeom prst="straightConnector1">
                    <a:avLst/>
                  </a:prstGeom>
                  <a:noFill/>
                  <a:ln cap="flat" cmpd="sng" w="9525">
                    <a:solidFill>
                      <a:schemeClr val="dk1"/>
                    </a:solidFill>
                    <a:prstDash val="solid"/>
                    <a:round/>
                    <a:headEnd len="sm" w="sm" type="none"/>
                    <a:tailEnd len="sm" w="sm" type="none"/>
                  </a:ln>
                </xdr:spPr>
              </xdr:cxnSp>
            </xdr:grpSp>
          </xdr:grpSp>
        </xdr:grpSp>
      </xdr:grpSp>
    </xdr:grpSp>
    <xdr:clientData fLocksWithSheet="0"/>
  </xdr:oneCellAnchor>
  <xdr:oneCellAnchor>
    <xdr:from>
      <xdr:col>16</xdr:col>
      <xdr:colOff>762000</xdr:colOff>
      <xdr:row>43</xdr:row>
      <xdr:rowOff>180975</xdr:rowOff>
    </xdr:from>
    <xdr:ext cx="2981325" cy="77152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762000</xdr:colOff>
      <xdr:row>85</xdr:row>
      <xdr:rowOff>180975</xdr:rowOff>
    </xdr:from>
    <xdr:ext cx="2943225" cy="69532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762000</xdr:colOff>
      <xdr:row>129</xdr:row>
      <xdr:rowOff>180975</xdr:rowOff>
    </xdr:from>
    <xdr:ext cx="2943225" cy="65722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19050</xdr:colOff>
      <xdr:row>171</xdr:row>
      <xdr:rowOff>190500</xdr:rowOff>
    </xdr:from>
    <xdr:ext cx="2895600" cy="69532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762000</xdr:colOff>
      <xdr:row>214</xdr:row>
      <xdr:rowOff>171450</xdr:rowOff>
    </xdr:from>
    <xdr:ext cx="2943225" cy="69532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123825</xdr:colOff>
      <xdr:row>0</xdr:row>
      <xdr:rowOff>114300</xdr:rowOff>
    </xdr:from>
    <xdr:ext cx="1047750" cy="6381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17</xdr:col>
      <xdr:colOff>647700</xdr:colOff>
      <xdr:row>0</xdr:row>
      <xdr:rowOff>114300</xdr:rowOff>
    </xdr:from>
    <xdr:ext cx="714375" cy="75247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15</xdr:col>
      <xdr:colOff>514350</xdr:colOff>
      <xdr:row>0</xdr:row>
      <xdr:rowOff>171450</xdr:rowOff>
    </xdr:from>
    <xdr:ext cx="1266825" cy="638175"/>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16</xdr:col>
      <xdr:colOff>1000125</xdr:colOff>
      <xdr:row>51</xdr:row>
      <xdr:rowOff>152400</xdr:rowOff>
    </xdr:from>
    <xdr:ext cx="3619500" cy="10096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28575</xdr:colOff>
      <xdr:row>105</xdr:row>
      <xdr:rowOff>190500</xdr:rowOff>
    </xdr:from>
    <xdr:ext cx="3619500" cy="10096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1000125</xdr:colOff>
      <xdr:row>158</xdr:row>
      <xdr:rowOff>171450</xdr:rowOff>
    </xdr:from>
    <xdr:ext cx="3619500" cy="10096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952500</xdr:colOff>
      <xdr:row>214</xdr:row>
      <xdr:rowOff>171450</xdr:rowOff>
    </xdr:from>
    <xdr:ext cx="3619500" cy="10096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952500</xdr:colOff>
      <xdr:row>267</xdr:row>
      <xdr:rowOff>171450</xdr:rowOff>
    </xdr:from>
    <xdr:ext cx="3619500" cy="10096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123825</xdr:colOff>
      <xdr:row>0</xdr:row>
      <xdr:rowOff>114300</xdr:rowOff>
    </xdr:from>
    <xdr:ext cx="1047750" cy="6381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17</xdr:col>
      <xdr:colOff>647700</xdr:colOff>
      <xdr:row>0</xdr:row>
      <xdr:rowOff>114300</xdr:rowOff>
    </xdr:from>
    <xdr:ext cx="714375" cy="75247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15</xdr:col>
      <xdr:colOff>514350</xdr:colOff>
      <xdr:row>0</xdr:row>
      <xdr:rowOff>171450</xdr:rowOff>
    </xdr:from>
    <xdr:ext cx="1266825" cy="638175"/>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16</xdr:col>
      <xdr:colOff>828675</xdr:colOff>
      <xdr:row>51</xdr:row>
      <xdr:rowOff>171450</xdr:rowOff>
    </xdr:from>
    <xdr:ext cx="2819400" cy="67627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762000</xdr:colOff>
      <xdr:row>107</xdr:row>
      <xdr:rowOff>161925</xdr:rowOff>
    </xdr:from>
    <xdr:ext cx="2895600" cy="67627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838200</xdr:colOff>
      <xdr:row>160</xdr:row>
      <xdr:rowOff>142875</xdr:rowOff>
    </xdr:from>
    <xdr:ext cx="2819400" cy="72390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828675</xdr:colOff>
      <xdr:row>216</xdr:row>
      <xdr:rowOff>171450</xdr:rowOff>
    </xdr:from>
    <xdr:ext cx="2819400" cy="65722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828675</xdr:colOff>
      <xdr:row>269</xdr:row>
      <xdr:rowOff>200025</xdr:rowOff>
    </xdr:from>
    <xdr:ext cx="2819400" cy="65722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123825</xdr:colOff>
      <xdr:row>0</xdr:row>
      <xdr:rowOff>114300</xdr:rowOff>
    </xdr:from>
    <xdr:ext cx="1047750" cy="6381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17</xdr:col>
      <xdr:colOff>647700</xdr:colOff>
      <xdr:row>0</xdr:row>
      <xdr:rowOff>114300</xdr:rowOff>
    </xdr:from>
    <xdr:ext cx="714375" cy="75247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15</xdr:col>
      <xdr:colOff>514350</xdr:colOff>
      <xdr:row>0</xdr:row>
      <xdr:rowOff>171450</xdr:rowOff>
    </xdr:from>
    <xdr:ext cx="1266825" cy="638175"/>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552450</xdr:colOff>
      <xdr:row>0</xdr:row>
      <xdr:rowOff>85725</xdr:rowOff>
    </xdr:from>
    <xdr:ext cx="3990975" cy="5391150"/>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24</xdr:col>
      <xdr:colOff>238125</xdr:colOff>
      <xdr:row>2</xdr:row>
      <xdr:rowOff>152400</xdr:rowOff>
    </xdr:from>
    <xdr:ext cx="4876800" cy="3695700"/>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14</xdr:col>
      <xdr:colOff>123825</xdr:colOff>
      <xdr:row>0</xdr:row>
      <xdr:rowOff>114300</xdr:rowOff>
    </xdr:from>
    <xdr:ext cx="1047750" cy="6381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12</xdr:col>
      <xdr:colOff>647700</xdr:colOff>
      <xdr:row>0</xdr:row>
      <xdr:rowOff>114300</xdr:rowOff>
    </xdr:from>
    <xdr:ext cx="714375" cy="752475"/>
    <xdr:pic>
      <xdr:nvPicPr>
        <xdr:cNvPr id="0" name="image1.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10</xdr:col>
      <xdr:colOff>514350</xdr:colOff>
      <xdr:row>0</xdr:row>
      <xdr:rowOff>171450</xdr:rowOff>
    </xdr:from>
    <xdr:ext cx="1266825" cy="638175"/>
    <xdr:pic>
      <xdr:nvPicPr>
        <xdr:cNvPr id="0" name="image2.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16.57"/>
    <col customWidth="1" min="2" max="2" width="23.71"/>
    <col customWidth="1" min="3" max="3" width="126.0"/>
  </cols>
  <sheetData>
    <row r="7">
      <c r="A7" s="1"/>
      <c r="B7" s="1"/>
      <c r="C7" s="1"/>
    </row>
    <row r="8">
      <c r="A8" s="2" t="s">
        <v>0</v>
      </c>
    </row>
    <row r="9">
      <c r="A9" s="3" t="s">
        <v>1</v>
      </c>
    </row>
    <row r="10">
      <c r="A10" s="4" t="s">
        <v>2</v>
      </c>
    </row>
    <row r="11">
      <c r="A11" s="1"/>
      <c r="B11" s="1"/>
      <c r="C11" s="1"/>
    </row>
    <row r="12">
      <c r="A12" s="5"/>
      <c r="B12" s="5"/>
      <c r="C12" s="5"/>
    </row>
    <row r="13">
      <c r="A13" s="6" t="s">
        <v>3</v>
      </c>
      <c r="B13" s="7"/>
      <c r="C13" s="8"/>
    </row>
    <row r="14">
      <c r="A14" s="9" t="s">
        <v>4</v>
      </c>
      <c r="B14" s="10" t="s">
        <v>5</v>
      </c>
      <c r="C14" s="8"/>
    </row>
    <row r="15">
      <c r="A15" s="9" t="s">
        <v>4</v>
      </c>
      <c r="B15" s="10" t="s">
        <v>6</v>
      </c>
      <c r="C15" s="8"/>
    </row>
    <row r="16">
      <c r="A16" s="9" t="s">
        <v>4</v>
      </c>
      <c r="B16" s="10" t="s">
        <v>7</v>
      </c>
      <c r="C16" s="8"/>
    </row>
    <row r="17">
      <c r="A17" s="11"/>
      <c r="B17" s="11"/>
      <c r="C17" s="11"/>
    </row>
    <row r="18">
      <c r="A18" s="6" t="s">
        <v>8</v>
      </c>
      <c r="B18" s="7"/>
      <c r="C18" s="8"/>
    </row>
    <row r="19">
      <c r="A19" s="12" t="s">
        <v>9</v>
      </c>
      <c r="B19" s="12" t="s">
        <v>10</v>
      </c>
      <c r="C19" s="12" t="s">
        <v>11</v>
      </c>
    </row>
    <row r="20">
      <c r="A20" s="13" t="s">
        <v>12</v>
      </c>
      <c r="B20" s="14" t="s">
        <v>13</v>
      </c>
      <c r="C20" s="15" t="s">
        <v>14</v>
      </c>
    </row>
    <row r="21">
      <c r="A21" s="9" t="s">
        <v>15</v>
      </c>
      <c r="B21" s="16" t="s">
        <v>16</v>
      </c>
      <c r="C21" s="17" t="s">
        <v>17</v>
      </c>
    </row>
    <row r="22">
      <c r="A22" s="13" t="s">
        <v>18</v>
      </c>
      <c r="B22" s="14" t="s">
        <v>19</v>
      </c>
      <c r="C22" s="15" t="s">
        <v>20</v>
      </c>
    </row>
    <row r="23">
      <c r="A23" s="13" t="s">
        <v>21</v>
      </c>
      <c r="B23" s="18" t="s">
        <v>22</v>
      </c>
      <c r="C23" s="17"/>
    </row>
    <row r="24">
      <c r="A24" s="13" t="s">
        <v>23</v>
      </c>
      <c r="B24" s="18" t="s">
        <v>24</v>
      </c>
      <c r="C24" s="17"/>
    </row>
    <row r="25">
      <c r="A25" s="13" t="s">
        <v>25</v>
      </c>
      <c r="B25" s="16" t="s">
        <v>26</v>
      </c>
      <c r="C25" s="17" t="s">
        <v>27</v>
      </c>
    </row>
    <row r="26">
      <c r="A26" s="11"/>
      <c r="B26" s="11"/>
      <c r="C26" s="11"/>
    </row>
    <row r="27">
      <c r="A27" s="6" t="s">
        <v>28</v>
      </c>
      <c r="B27" s="7"/>
      <c r="C27" s="8"/>
    </row>
    <row r="28">
      <c r="A28" s="19" t="s">
        <v>29</v>
      </c>
      <c r="B28" s="20" t="s">
        <v>30</v>
      </c>
      <c r="C28" s="21" t="s">
        <v>31</v>
      </c>
    </row>
    <row r="29">
      <c r="A29" s="22" t="s">
        <v>32</v>
      </c>
      <c r="B29" s="16" t="s">
        <v>33</v>
      </c>
      <c r="C29" s="17" t="s">
        <v>34</v>
      </c>
    </row>
    <row r="30">
      <c r="A30" s="19" t="s">
        <v>35</v>
      </c>
      <c r="B30" s="20" t="s">
        <v>36</v>
      </c>
      <c r="C30" s="21" t="s">
        <v>37</v>
      </c>
    </row>
    <row r="31">
      <c r="A31" s="11"/>
      <c r="B31" s="11"/>
      <c r="C31" s="11"/>
    </row>
    <row r="32">
      <c r="A32" s="23" t="s">
        <v>38</v>
      </c>
      <c r="B32" s="7"/>
      <c r="C32" s="8"/>
    </row>
    <row r="33">
      <c r="A33" s="24" t="s">
        <v>39</v>
      </c>
      <c r="B33" s="25" t="s">
        <v>40</v>
      </c>
      <c r="C33" s="8"/>
    </row>
    <row r="34">
      <c r="A34" s="24" t="s">
        <v>39</v>
      </c>
      <c r="B34" s="25" t="s">
        <v>41</v>
      </c>
      <c r="C34" s="8"/>
    </row>
    <row r="35">
      <c r="A35" s="24" t="s">
        <v>39</v>
      </c>
      <c r="B35" s="25" t="s">
        <v>42</v>
      </c>
      <c r="C35" s="8"/>
    </row>
    <row r="36">
      <c r="A36" s="24" t="s">
        <v>39</v>
      </c>
      <c r="B36" s="25" t="s">
        <v>43</v>
      </c>
      <c r="C36" s="8"/>
    </row>
    <row r="37">
      <c r="A37" s="24" t="s">
        <v>39</v>
      </c>
      <c r="B37" s="25" t="s">
        <v>44</v>
      </c>
      <c r="C37" s="8"/>
    </row>
  </sheetData>
  <mergeCells count="15">
    <mergeCell ref="A18:C18"/>
    <mergeCell ref="A27:C27"/>
    <mergeCell ref="A32:C32"/>
    <mergeCell ref="B33:C33"/>
    <mergeCell ref="B34:C34"/>
    <mergeCell ref="B35:C35"/>
    <mergeCell ref="B36:C36"/>
    <mergeCell ref="B37:C37"/>
    <mergeCell ref="A8:C8"/>
    <mergeCell ref="A9:C9"/>
    <mergeCell ref="A10:C10"/>
    <mergeCell ref="A13:C13"/>
    <mergeCell ref="B14:C14"/>
    <mergeCell ref="B15:C15"/>
    <mergeCell ref="B16:C16"/>
  </mergeCells>
  <printOptions/>
  <pageMargins bottom="1.0" footer="0.0" header="0.0" left="0.5" right="2.0847830067753166" top="1.0"/>
  <pageSetup fitToWidth="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6.71"/>
    <col customWidth="1" min="2" max="2" width="17.29"/>
  </cols>
  <sheetData>
    <row r="1">
      <c r="B1" s="26">
        <v>0.0</v>
      </c>
      <c r="D1" s="26">
        <v>3.6</v>
      </c>
      <c r="F1" s="26">
        <v>7.2</v>
      </c>
      <c r="H1" s="26">
        <v>10.8</v>
      </c>
      <c r="J1" s="26">
        <v>14.4</v>
      </c>
    </row>
    <row r="2">
      <c r="A2" s="26" t="s">
        <v>45</v>
      </c>
      <c r="B2" s="27" t="s">
        <v>46</v>
      </c>
      <c r="F2" s="26" t="s">
        <v>47</v>
      </c>
    </row>
    <row r="3">
      <c r="A3" s="28" t="s">
        <v>48</v>
      </c>
      <c r="B3" s="29" t="s">
        <v>49</v>
      </c>
      <c r="C3" s="30"/>
      <c r="D3" s="29" t="s">
        <v>50</v>
      </c>
      <c r="E3" s="30"/>
      <c r="F3" s="29" t="s">
        <v>51</v>
      </c>
      <c r="G3" s="30"/>
      <c r="H3" s="29" t="s">
        <v>52</v>
      </c>
      <c r="I3" s="30"/>
      <c r="J3" s="29" t="s">
        <v>53</v>
      </c>
      <c r="K3" s="30"/>
      <c r="L3" s="30"/>
      <c r="M3" s="30"/>
      <c r="N3" s="30"/>
      <c r="O3" s="30"/>
      <c r="P3" s="30"/>
      <c r="Q3" s="30"/>
      <c r="R3" s="30"/>
      <c r="S3" s="30"/>
      <c r="T3" s="30"/>
      <c r="U3" s="30"/>
      <c r="V3" s="30"/>
      <c r="W3" s="30"/>
      <c r="X3" s="30"/>
      <c r="Y3" s="30"/>
      <c r="Z3" s="30"/>
    </row>
    <row r="4">
      <c r="B4" s="26" t="s">
        <v>54</v>
      </c>
    </row>
    <row r="5">
      <c r="A5" s="26" t="s">
        <v>55</v>
      </c>
      <c r="B5" s="31">
        <v>0.0</v>
      </c>
      <c r="K5" s="32" t="s">
        <v>56</v>
      </c>
      <c r="L5" s="33"/>
    </row>
    <row r="6">
      <c r="A6" s="27" t="s">
        <v>57</v>
      </c>
      <c r="B6" s="34"/>
    </row>
    <row r="7">
      <c r="B7" s="34"/>
      <c r="K7" s="26" t="s">
        <v>58</v>
      </c>
    </row>
    <row r="8">
      <c r="B8" s="34"/>
    </row>
    <row r="9">
      <c r="A9" s="26" t="s">
        <v>59</v>
      </c>
      <c r="B9" s="34"/>
      <c r="K9" s="26" t="s">
        <v>60</v>
      </c>
    </row>
    <row r="10">
      <c r="B10" s="34"/>
    </row>
    <row r="11">
      <c r="B11" s="34"/>
    </row>
    <row r="12">
      <c r="B12" s="34"/>
    </row>
    <row r="13">
      <c r="B13" s="34"/>
    </row>
    <row r="14">
      <c r="A14" s="26" t="s">
        <v>61</v>
      </c>
      <c r="B14" s="31">
        <v>3.5</v>
      </c>
      <c r="K14" s="32" t="s">
        <v>56</v>
      </c>
      <c r="L14" s="33"/>
    </row>
    <row r="16">
      <c r="A16" s="26" t="s">
        <v>62</v>
      </c>
      <c r="K16" s="26" t="s">
        <v>63</v>
      </c>
    </row>
    <row r="17">
      <c r="A17" s="35"/>
      <c r="B17" s="36" t="s">
        <v>64</v>
      </c>
      <c r="C17" s="35"/>
      <c r="D17" s="36" t="s">
        <v>65</v>
      </c>
      <c r="E17" s="35"/>
      <c r="F17" s="36" t="s">
        <v>65</v>
      </c>
      <c r="G17" s="35"/>
      <c r="H17" s="36" t="s">
        <v>65</v>
      </c>
      <c r="I17" s="35"/>
      <c r="J17" s="36" t="s">
        <v>66</v>
      </c>
      <c r="K17" s="35"/>
      <c r="L17" s="35"/>
      <c r="M17" s="35"/>
    </row>
    <row r="18">
      <c r="A18" s="37" t="s">
        <v>67</v>
      </c>
      <c r="B18" s="37"/>
      <c r="C18" s="38"/>
      <c r="D18" s="38"/>
      <c r="E18" s="38"/>
      <c r="F18" s="38"/>
      <c r="G18" s="38"/>
      <c r="H18" s="38"/>
      <c r="I18" s="38"/>
      <c r="J18" s="38"/>
      <c r="K18" s="38"/>
      <c r="L18" s="38"/>
      <c r="M18" s="35"/>
    </row>
    <row r="19">
      <c r="A19" s="38"/>
      <c r="B19" s="38"/>
      <c r="C19" s="38"/>
      <c r="D19" s="38"/>
      <c r="E19" s="38"/>
      <c r="F19" s="38"/>
      <c r="G19" s="38"/>
      <c r="H19" s="38"/>
      <c r="I19" s="39" t="s">
        <v>68</v>
      </c>
      <c r="J19" s="39"/>
      <c r="K19" s="40">
        <v>0.9</v>
      </c>
      <c r="L19" s="38"/>
      <c r="M19" s="35"/>
    </row>
    <row r="20">
      <c r="A20" s="38"/>
      <c r="B20" s="41" t="s">
        <v>69</v>
      </c>
      <c r="C20" s="42"/>
      <c r="D20" s="42"/>
      <c r="E20" s="42"/>
      <c r="F20" s="42"/>
      <c r="G20" s="42"/>
      <c r="H20" s="38"/>
      <c r="I20" s="39" t="s">
        <v>70</v>
      </c>
      <c r="J20" s="39"/>
      <c r="K20" s="40">
        <v>0.9</v>
      </c>
      <c r="L20" s="38"/>
      <c r="M20" s="35"/>
    </row>
    <row r="21">
      <c r="A21" s="38"/>
      <c r="B21" s="41" t="s">
        <v>71</v>
      </c>
      <c r="C21" s="42"/>
      <c r="D21" s="42"/>
      <c r="E21" s="42"/>
      <c r="F21" s="42"/>
      <c r="G21" s="42"/>
      <c r="H21" s="38"/>
      <c r="I21" s="39" t="s">
        <v>72</v>
      </c>
      <c r="J21" s="39"/>
      <c r="K21" s="40">
        <v>1.2</v>
      </c>
      <c r="L21" s="38"/>
      <c r="M21" s="35"/>
    </row>
    <row r="22">
      <c r="A22" s="38"/>
      <c r="B22" s="38"/>
      <c r="C22" s="38"/>
      <c r="D22" s="38"/>
      <c r="E22" s="38"/>
      <c r="F22" s="38"/>
      <c r="G22" s="38"/>
      <c r="H22" s="38"/>
      <c r="I22" s="39" t="s">
        <v>73</v>
      </c>
      <c r="J22" s="39"/>
      <c r="K22" s="40">
        <v>0.1</v>
      </c>
      <c r="L22" s="38"/>
      <c r="M22" s="35"/>
    </row>
    <row r="23">
      <c r="A23" s="38"/>
      <c r="B23" s="38"/>
      <c r="C23" s="38"/>
      <c r="D23" s="38"/>
      <c r="E23" s="38"/>
      <c r="F23" s="37"/>
      <c r="G23" s="37"/>
      <c r="H23" s="38"/>
      <c r="I23" s="39" t="s">
        <v>74</v>
      </c>
      <c r="J23" s="39"/>
      <c r="K23" s="40">
        <v>0.2</v>
      </c>
      <c r="L23" s="38"/>
      <c r="M23" s="35"/>
    </row>
    <row r="24">
      <c r="A24" s="38"/>
      <c r="B24" s="38"/>
      <c r="C24" s="38"/>
      <c r="D24" s="38"/>
      <c r="E24" s="38"/>
      <c r="F24" s="38"/>
      <c r="G24" s="38"/>
      <c r="H24" s="38"/>
      <c r="I24" s="38"/>
      <c r="J24" s="38"/>
      <c r="K24" s="38"/>
      <c r="L24" s="38"/>
      <c r="M24" s="35"/>
    </row>
    <row r="25">
      <c r="A25" s="38"/>
      <c r="B25" s="38"/>
      <c r="C25" s="38"/>
      <c r="D25" s="38"/>
      <c r="E25" s="38"/>
      <c r="F25" s="38"/>
      <c r="G25" s="38"/>
      <c r="H25" s="38"/>
      <c r="I25" s="38"/>
      <c r="J25" s="38"/>
      <c r="K25" s="38"/>
      <c r="L25" s="38"/>
      <c r="M25" s="35"/>
    </row>
    <row r="26">
      <c r="A26" s="38"/>
      <c r="B26" s="38"/>
      <c r="C26" s="38"/>
      <c r="D26" s="38"/>
      <c r="E26" s="38"/>
      <c r="F26" s="38"/>
      <c r="G26" s="38"/>
      <c r="H26" s="38"/>
      <c r="I26" s="38"/>
      <c r="J26" s="38"/>
      <c r="K26" s="38"/>
      <c r="L26" s="38"/>
      <c r="M26" s="35"/>
    </row>
    <row r="27">
      <c r="A27" s="35"/>
      <c r="B27" s="35"/>
      <c r="C27" s="35"/>
      <c r="D27" s="35"/>
      <c r="E27" s="35"/>
      <c r="F27" s="35"/>
      <c r="G27" s="35"/>
      <c r="H27" s="35"/>
      <c r="I27" s="35"/>
      <c r="J27" s="35"/>
      <c r="K27" s="35"/>
      <c r="L27" s="35"/>
      <c r="M27" s="35"/>
    </row>
    <row r="28">
      <c r="A28" s="35"/>
      <c r="B28" s="35"/>
      <c r="C28" s="35"/>
      <c r="D28" s="35"/>
      <c r="E28" s="35"/>
      <c r="F28" s="35"/>
      <c r="G28" s="35"/>
      <c r="H28" s="35"/>
      <c r="I28" s="35"/>
      <c r="J28" s="35"/>
      <c r="K28" s="35"/>
      <c r="L28" s="35"/>
      <c r="M28" s="35"/>
    </row>
    <row r="29">
      <c r="A29" s="35"/>
      <c r="B29" s="35"/>
      <c r="C29" s="35"/>
      <c r="D29" s="35"/>
      <c r="E29" s="35"/>
      <c r="F29" s="35"/>
      <c r="G29" s="35"/>
      <c r="H29" s="35"/>
      <c r="I29" s="35"/>
      <c r="J29" s="35"/>
      <c r="K29" s="35"/>
      <c r="L29" s="35"/>
      <c r="M29" s="3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57"/>
    <col customWidth="1" min="2" max="2" width="6.43"/>
    <col customWidth="1" min="3" max="3" width="17.0"/>
    <col customWidth="1" min="4" max="4" width="14.71"/>
    <col customWidth="1" min="5" max="5" width="9.29"/>
    <col customWidth="1" min="6" max="6" width="7.43"/>
    <col customWidth="1" min="7" max="7" width="7.57"/>
    <col customWidth="1" min="8" max="8" width="12.29"/>
    <col customWidth="1" min="9" max="9" width="15.14"/>
    <col customWidth="1" min="10" max="10" width="11.43"/>
    <col customWidth="1" min="11" max="11" width="14.71"/>
    <col customWidth="1" min="12" max="12" width="10.14"/>
    <col customWidth="1" min="13" max="13" width="17.14"/>
    <col customWidth="1" min="14" max="14" width="15.14"/>
    <col customWidth="1" min="15" max="15" width="12.29"/>
    <col customWidth="1" min="16" max="16" width="6.71"/>
    <col customWidth="1" min="17" max="17" width="10.71"/>
    <col customWidth="1" min="18" max="18" width="8.14"/>
    <col customWidth="1" min="19" max="19" width="12.86"/>
    <col customWidth="1" min="20" max="20" width="11.29"/>
    <col customWidth="1" min="21" max="21" width="13.71"/>
    <col customWidth="1" min="22" max="22" width="6.71"/>
  </cols>
  <sheetData>
    <row r="1">
      <c r="A1" s="43"/>
      <c r="B1" s="43"/>
      <c r="C1" s="44"/>
      <c r="D1" s="43"/>
      <c r="E1" s="43"/>
      <c r="F1" s="43"/>
      <c r="G1" s="43"/>
      <c r="H1" s="43"/>
      <c r="I1" s="43"/>
      <c r="J1" s="43"/>
      <c r="K1" s="43"/>
      <c r="L1" s="43"/>
      <c r="M1" s="43"/>
      <c r="N1" s="43"/>
      <c r="O1" s="45"/>
      <c r="P1" s="43"/>
      <c r="Q1" s="43"/>
      <c r="R1" s="46"/>
      <c r="S1" s="47"/>
    </row>
    <row r="2">
      <c r="A2" s="48"/>
      <c r="B2" s="49" t="s">
        <v>75</v>
      </c>
      <c r="C2" s="50"/>
      <c r="D2" s="51"/>
      <c r="E2" s="51"/>
      <c r="F2" s="51"/>
      <c r="G2" s="51"/>
      <c r="H2" s="51"/>
      <c r="I2" s="51"/>
      <c r="J2" s="51"/>
      <c r="K2" s="51"/>
      <c r="L2" s="51"/>
      <c r="M2" s="51"/>
      <c r="N2" s="52" t="s">
        <v>76</v>
      </c>
      <c r="O2" s="52"/>
      <c r="P2" s="51"/>
      <c r="Q2" s="51"/>
      <c r="R2" s="53"/>
      <c r="S2" s="54"/>
    </row>
    <row r="3">
      <c r="A3" s="43"/>
      <c r="B3" s="49" t="s">
        <v>77</v>
      </c>
      <c r="C3" s="55" t="s">
        <v>78</v>
      </c>
      <c r="D3" s="56"/>
      <c r="E3" s="51"/>
      <c r="F3" s="51"/>
      <c r="G3" s="51"/>
      <c r="H3" s="51"/>
      <c r="I3" s="51"/>
      <c r="J3" s="51"/>
      <c r="K3" s="51"/>
      <c r="L3" s="51"/>
      <c r="M3" s="51"/>
      <c r="N3" s="57" t="s">
        <v>79</v>
      </c>
      <c r="O3" s="57"/>
      <c r="P3" s="51"/>
      <c r="Q3" s="51"/>
      <c r="R3" s="53"/>
      <c r="S3" s="54"/>
    </row>
    <row r="4" ht="15.75" customHeight="1">
      <c r="A4" s="43"/>
      <c r="B4" s="51"/>
      <c r="C4" s="52"/>
      <c r="D4" s="56"/>
      <c r="E4" s="51"/>
      <c r="F4" s="51"/>
      <c r="G4" s="51"/>
      <c r="H4" s="51"/>
      <c r="I4" s="51"/>
      <c r="J4" s="51"/>
      <c r="K4" s="51"/>
      <c r="L4" s="51"/>
      <c r="M4" s="51"/>
      <c r="N4" s="57" t="s">
        <v>80</v>
      </c>
      <c r="O4" s="57"/>
      <c r="P4" s="51"/>
      <c r="Q4" s="51"/>
      <c r="R4" s="53"/>
      <c r="S4" s="54"/>
    </row>
    <row r="5" ht="16.5" customHeight="1">
      <c r="A5" s="43"/>
      <c r="B5" s="43"/>
      <c r="C5" s="45"/>
      <c r="D5" s="43"/>
      <c r="E5" s="43"/>
      <c r="F5" s="43"/>
      <c r="G5" s="43"/>
      <c r="H5" s="43"/>
      <c r="I5" s="43"/>
      <c r="J5" s="43"/>
      <c r="K5" s="43"/>
      <c r="L5" s="43"/>
      <c r="M5" s="43"/>
      <c r="N5" s="43"/>
      <c r="O5" s="43"/>
      <c r="P5" s="43"/>
      <c r="Q5" s="43"/>
      <c r="R5" s="46"/>
      <c r="S5" s="33"/>
    </row>
    <row r="6" ht="16.5" customHeight="1">
      <c r="A6" s="58"/>
      <c r="B6" s="59" t="s">
        <v>81</v>
      </c>
      <c r="C6" s="60"/>
      <c r="D6" s="61"/>
      <c r="E6" s="61" t="s">
        <v>82</v>
      </c>
      <c r="F6" s="61"/>
      <c r="G6" s="60"/>
      <c r="H6" s="60"/>
      <c r="I6" s="43"/>
      <c r="J6" s="58"/>
      <c r="K6" s="62"/>
      <c r="L6" s="62"/>
      <c r="M6" s="62"/>
      <c r="N6" s="62"/>
      <c r="O6" s="63" t="s">
        <v>83</v>
      </c>
      <c r="P6" s="64">
        <v>0.2</v>
      </c>
      <c r="Q6" s="65" t="s">
        <v>84</v>
      </c>
      <c r="R6" s="58"/>
    </row>
    <row r="7" ht="16.5" customHeight="1">
      <c r="A7" s="66"/>
      <c r="B7" s="67" t="s">
        <v>85</v>
      </c>
      <c r="C7" s="68"/>
      <c r="D7" s="68"/>
      <c r="E7" s="68"/>
      <c r="F7" s="68"/>
      <c r="G7" s="68"/>
      <c r="H7" s="68"/>
      <c r="I7" s="68"/>
      <c r="J7" s="5"/>
      <c r="K7" s="69"/>
      <c r="N7" s="68"/>
      <c r="O7" s="70" t="s">
        <v>86</v>
      </c>
      <c r="P7" s="64">
        <f>P8*P9</f>
        <v>54.02</v>
      </c>
      <c r="Q7" s="71" t="s">
        <v>87</v>
      </c>
      <c r="R7" s="71"/>
      <c r="S7" s="68"/>
      <c r="T7" s="68"/>
      <c r="U7" s="72"/>
    </row>
    <row r="8" ht="16.5" customHeight="1">
      <c r="A8" s="73"/>
      <c r="B8" s="74"/>
      <c r="C8" s="70" t="s">
        <v>88</v>
      </c>
      <c r="D8" s="75">
        <v>1.3</v>
      </c>
      <c r="E8" s="43" t="str">
        <f>lookup($D$8,Reference!$B$37:$B$42,Reference!$M$37:$M$42)</f>
        <v>Premier de trois étages</v>
      </c>
      <c r="F8" s="43"/>
      <c r="G8" s="43"/>
      <c r="H8" s="43"/>
      <c r="I8" s="68"/>
      <c r="J8" s="65"/>
      <c r="K8" s="65"/>
      <c r="L8" s="76"/>
      <c r="N8" s="68"/>
      <c r="O8" s="77" t="s">
        <v>89</v>
      </c>
      <c r="P8" s="64">
        <f>3.6*4+P6</f>
        <v>14.6</v>
      </c>
      <c r="Q8" s="71" t="s">
        <v>84</v>
      </c>
      <c r="R8" s="71"/>
      <c r="S8" s="68"/>
      <c r="T8" s="68"/>
      <c r="U8" s="72"/>
    </row>
    <row r="9" ht="16.5" customHeight="1">
      <c r="A9" s="74"/>
      <c r="B9" s="43"/>
      <c r="C9" s="78" t="s">
        <v>90</v>
      </c>
      <c r="D9" s="79">
        <f>lookup($D$8,Reference!$B$37:$B$42,Reference!$C$37:$C$42)</f>
        <v>3</v>
      </c>
      <c r="E9" s="80" t="s">
        <v>91</v>
      </c>
      <c r="F9" s="80"/>
      <c r="G9" s="80"/>
      <c r="H9" s="80"/>
      <c r="I9" s="43"/>
      <c r="J9" s="65"/>
      <c r="L9" s="76"/>
      <c r="N9" s="71"/>
      <c r="O9" s="77" t="s">
        <v>92</v>
      </c>
      <c r="P9" s="64">
        <f>3.5+P6</f>
        <v>3.7</v>
      </c>
      <c r="Q9" s="71" t="s">
        <v>84</v>
      </c>
      <c r="R9" s="71"/>
      <c r="S9" s="68"/>
      <c r="T9" s="68"/>
      <c r="U9" s="72"/>
    </row>
    <row r="10" ht="16.5" customHeight="1">
      <c r="A10" s="67"/>
      <c r="B10" s="68"/>
      <c r="C10" s="77" t="s">
        <v>93</v>
      </c>
      <c r="D10" s="79">
        <f>lookup($D$8,Reference!$B$37:$B$42,Reference!$D$37:$D$42)</f>
        <v>1</v>
      </c>
      <c r="E10" s="68" t="str">
        <f>lookup($D$8,Reference!$B$37:$B$42,Reference!$E$37:$E$42)</f>
        <v>Rez-de-chaussée (Niveau 1)</v>
      </c>
      <c r="F10" s="68"/>
      <c r="G10" s="68"/>
      <c r="H10" s="68"/>
      <c r="I10" s="68"/>
      <c r="J10" s="81"/>
      <c r="L10" s="82"/>
      <c r="N10" s="68"/>
      <c r="O10" s="68"/>
      <c r="P10" s="68"/>
      <c r="Q10" s="43"/>
      <c r="R10" s="43"/>
      <c r="S10" s="43"/>
      <c r="T10" s="43"/>
    </row>
    <row r="11" ht="16.5" customHeight="1">
      <c r="A11" s="63"/>
      <c r="B11" s="63"/>
      <c r="C11" s="63" t="s">
        <v>94</v>
      </c>
      <c r="D11" s="83">
        <v>2.9</v>
      </c>
      <c r="E11" s="68"/>
      <c r="J11" s="81"/>
      <c r="L11" s="84"/>
      <c r="N11" s="68"/>
      <c r="O11" s="68"/>
      <c r="P11" s="68"/>
      <c r="Q11" s="43"/>
      <c r="R11" s="43"/>
      <c r="S11" s="43"/>
      <c r="T11" s="43"/>
    </row>
    <row r="12" ht="16.5" customHeight="1">
      <c r="A12" s="43"/>
      <c r="B12" s="74"/>
      <c r="C12" s="70" t="s">
        <v>95</v>
      </c>
      <c r="D12" s="75" t="s">
        <v>96</v>
      </c>
      <c r="E12" s="43"/>
      <c r="F12" s="33"/>
      <c r="G12" s="33"/>
      <c r="H12" s="33"/>
      <c r="I12" s="33"/>
      <c r="J12" s="85"/>
      <c r="K12" s="85"/>
      <c r="L12" s="84"/>
      <c r="N12" s="68"/>
      <c r="O12" s="68"/>
      <c r="P12" s="68"/>
      <c r="Q12" s="43"/>
      <c r="R12" s="43"/>
      <c r="S12" s="43"/>
      <c r="T12" s="43"/>
    </row>
    <row r="13" ht="16.5" customHeight="1">
      <c r="A13" s="43"/>
      <c r="B13" s="43"/>
      <c r="C13" s="78" t="s">
        <v>97</v>
      </c>
      <c r="D13" s="86" t="s">
        <v>98</v>
      </c>
      <c r="E13" s="80"/>
      <c r="F13" s="32"/>
      <c r="G13" s="87"/>
      <c r="H13" s="87"/>
      <c r="I13" s="33"/>
      <c r="J13" s="85"/>
      <c r="K13" s="85"/>
      <c r="L13" s="84"/>
      <c r="N13" s="68"/>
      <c r="O13" s="88" t="s">
        <v>99</v>
      </c>
      <c r="P13" s="48"/>
      <c r="Q13" s="43"/>
      <c r="R13" s="80" t="s">
        <v>100</v>
      </c>
      <c r="S13" s="43"/>
      <c r="T13" s="43"/>
      <c r="U13" s="72"/>
    </row>
    <row r="14" ht="16.5" customHeight="1">
      <c r="A14" s="43"/>
      <c r="B14" s="43"/>
      <c r="C14" s="70" t="s">
        <v>101</v>
      </c>
      <c r="D14" s="89">
        <v>1.1</v>
      </c>
      <c r="E14" s="80"/>
      <c r="F14" s="32"/>
      <c r="G14" s="33"/>
      <c r="H14" s="33"/>
      <c r="I14" s="33"/>
      <c r="J14" s="85"/>
      <c r="K14" s="85"/>
      <c r="L14" s="84"/>
      <c r="N14" s="70"/>
      <c r="O14" s="90" t="s">
        <v>102</v>
      </c>
      <c r="P14" s="91">
        <f>P8/P9</f>
        <v>3.945945946</v>
      </c>
      <c r="Q14" s="43"/>
      <c r="R14" s="43"/>
      <c r="S14" s="92"/>
      <c r="T14" s="43"/>
      <c r="U14" s="72"/>
    </row>
    <row r="15" ht="16.5" customHeight="1">
      <c r="A15" s="68"/>
      <c r="B15" s="43"/>
      <c r="C15" s="70" t="s">
        <v>103</v>
      </c>
      <c r="D15" s="86" t="s">
        <v>104</v>
      </c>
      <c r="E15" s="80"/>
      <c r="F15" s="32"/>
      <c r="G15" s="33"/>
      <c r="H15" s="33"/>
      <c r="I15" s="33"/>
      <c r="J15" s="93"/>
      <c r="N15" s="80" t="s">
        <v>105</v>
      </c>
      <c r="P15" s="45"/>
      <c r="Q15" s="80" t="s">
        <v>106</v>
      </c>
      <c r="R15" s="92">
        <f>P7</f>
        <v>54.02</v>
      </c>
      <c r="S15" s="92"/>
      <c r="T15" s="94">
        <f>P9</f>
        <v>3.7</v>
      </c>
      <c r="U15" s="72"/>
    </row>
    <row r="16" ht="16.5" customHeight="1">
      <c r="A16" s="68"/>
      <c r="B16" s="68"/>
      <c r="C16" s="71" t="s">
        <v>107</v>
      </c>
      <c r="D16" s="95">
        <f>lookup($D$13,Reference!$B$26:$B$29,Reference!C26:C29)</f>
        <v>1.59</v>
      </c>
      <c r="E16" s="68"/>
      <c r="N16" s="68"/>
      <c r="O16" s="43"/>
      <c r="P16" s="45"/>
      <c r="Q16" s="43"/>
      <c r="R16" s="96" t="s">
        <v>108</v>
      </c>
      <c r="T16" s="43"/>
      <c r="U16" s="72"/>
    </row>
    <row r="17" ht="16.5" customHeight="1">
      <c r="A17" s="43"/>
      <c r="B17" s="68"/>
      <c r="C17" s="71" t="s">
        <v>109</v>
      </c>
      <c r="D17" s="82">
        <f>if(or(D15="A",D15="B"),1.2,1.2)</f>
        <v>1.2</v>
      </c>
      <c r="E17" s="68"/>
      <c r="N17" s="68"/>
      <c r="O17" s="43"/>
      <c r="P17" s="43"/>
      <c r="Q17" s="43"/>
      <c r="R17" s="92">
        <f>P8</f>
        <v>14.6</v>
      </c>
      <c r="S17" s="92"/>
      <c r="T17" s="43"/>
      <c r="U17" s="72"/>
    </row>
    <row r="18" ht="16.5" customHeight="1">
      <c r="A18" s="68"/>
      <c r="B18" s="68"/>
      <c r="C18" s="71" t="s">
        <v>110</v>
      </c>
      <c r="D18" s="97">
        <f>D16*D14*D17*2/3</f>
        <v>1.3992</v>
      </c>
      <c r="E18" s="68"/>
      <c r="N18" s="72"/>
      <c r="O18" s="72"/>
      <c r="P18" s="72"/>
      <c r="Q18" s="72"/>
      <c r="R18" s="72"/>
      <c r="S18" s="72"/>
      <c r="T18" s="72"/>
      <c r="U18" s="72"/>
    </row>
    <row r="19" ht="34.5" customHeight="1">
      <c r="K19" s="98" t="s">
        <v>111</v>
      </c>
    </row>
    <row r="20" ht="16.5" customHeight="1"/>
    <row r="21" ht="16.5" customHeight="1">
      <c r="A21" s="99"/>
      <c r="B21" s="100" t="s">
        <v>112</v>
      </c>
      <c r="C21" s="101" t="s">
        <v>113</v>
      </c>
      <c r="D21" s="101" t="s">
        <v>114</v>
      </c>
      <c r="E21" s="101"/>
      <c r="F21" s="102"/>
      <c r="G21" s="103"/>
      <c r="H21" s="102" t="s">
        <v>115</v>
      </c>
      <c r="I21" s="102"/>
      <c r="J21" s="101"/>
      <c r="K21" s="101" t="s">
        <v>116</v>
      </c>
      <c r="L21" s="101" t="s">
        <v>117</v>
      </c>
      <c r="M21" s="104" t="s">
        <v>118</v>
      </c>
      <c r="N21" s="101"/>
      <c r="O21" s="105"/>
      <c r="P21" s="105"/>
      <c r="Q21" s="101"/>
      <c r="R21" s="106"/>
      <c r="S21" s="107"/>
      <c r="T21" s="107"/>
      <c r="U21" s="108"/>
    </row>
    <row r="22" ht="16.5" customHeight="1">
      <c r="A22" s="99"/>
      <c r="B22" s="109"/>
      <c r="C22" s="110"/>
      <c r="D22" s="111" t="s">
        <v>119</v>
      </c>
      <c r="E22" s="111" t="s">
        <v>120</v>
      </c>
      <c r="F22" s="111" t="s">
        <v>121</v>
      </c>
      <c r="G22" s="112" t="s">
        <v>122</v>
      </c>
      <c r="H22" s="111" t="s">
        <v>123</v>
      </c>
      <c r="I22" s="111" t="s">
        <v>124</v>
      </c>
      <c r="J22" s="111" t="s">
        <v>125</v>
      </c>
      <c r="K22" s="111" t="s">
        <v>126</v>
      </c>
      <c r="L22" s="111" t="s">
        <v>127</v>
      </c>
      <c r="M22" s="113" t="s">
        <v>128</v>
      </c>
      <c r="N22" s="111" t="s">
        <v>129</v>
      </c>
      <c r="O22" s="111" t="s">
        <v>123</v>
      </c>
      <c r="P22" s="110" t="s">
        <v>130</v>
      </c>
      <c r="Q22" s="111" t="s">
        <v>131</v>
      </c>
      <c r="R22" s="114" t="s">
        <v>132</v>
      </c>
      <c r="S22" s="115"/>
      <c r="T22" s="115"/>
      <c r="U22" s="116"/>
    </row>
    <row r="23" ht="16.5" customHeight="1">
      <c r="A23" s="99"/>
      <c r="B23" s="117"/>
      <c r="C23" s="118"/>
      <c r="D23" s="111" t="s">
        <v>133</v>
      </c>
      <c r="E23" s="111" t="s">
        <v>134</v>
      </c>
      <c r="F23" s="115" t="s">
        <v>135</v>
      </c>
      <c r="G23" s="116" t="s">
        <v>136</v>
      </c>
      <c r="H23" s="111" t="s">
        <v>137</v>
      </c>
      <c r="I23" s="111" t="s">
        <v>138</v>
      </c>
      <c r="J23" s="111" t="s">
        <v>139</v>
      </c>
      <c r="K23" s="111" t="s">
        <v>137</v>
      </c>
      <c r="L23" s="111" t="s">
        <v>140</v>
      </c>
      <c r="M23" s="113" t="s">
        <v>141</v>
      </c>
      <c r="N23" s="111" t="s">
        <v>142</v>
      </c>
      <c r="O23" s="111" t="s">
        <v>143</v>
      </c>
      <c r="P23" s="115" t="s">
        <v>144</v>
      </c>
      <c r="Q23" s="111" t="s">
        <v>145</v>
      </c>
      <c r="R23" s="115" t="s">
        <v>146</v>
      </c>
      <c r="S23" s="115" t="s">
        <v>147</v>
      </c>
      <c r="T23" s="115" t="s">
        <v>148</v>
      </c>
      <c r="U23" s="116" t="s">
        <v>149</v>
      </c>
    </row>
    <row r="24">
      <c r="A24" s="99"/>
      <c r="B24" s="119"/>
      <c r="C24" s="120"/>
      <c r="D24" s="121" t="s">
        <v>134</v>
      </c>
      <c r="E24" s="121"/>
      <c r="F24" s="120"/>
      <c r="G24" s="122"/>
      <c r="H24" s="123" t="s">
        <v>150</v>
      </c>
      <c r="I24" s="123" t="s">
        <v>151</v>
      </c>
      <c r="J24" s="120"/>
      <c r="K24" s="124" t="s">
        <v>152</v>
      </c>
      <c r="L24" s="125" t="s">
        <v>153</v>
      </c>
      <c r="M24" s="126" t="s">
        <v>154</v>
      </c>
      <c r="N24" s="125" t="s">
        <v>155</v>
      </c>
      <c r="O24" s="124" t="s">
        <v>156</v>
      </c>
      <c r="P24" s="121"/>
      <c r="Q24" s="125"/>
      <c r="R24" s="127"/>
      <c r="S24" s="127"/>
      <c r="T24" s="121" t="s">
        <v>157</v>
      </c>
      <c r="U24" s="128"/>
    </row>
    <row r="25" ht="18.75" customHeight="1">
      <c r="A25" s="129"/>
      <c r="B25" s="130">
        <v>1.0</v>
      </c>
      <c r="C25" s="131">
        <v>45658.0</v>
      </c>
      <c r="D25" s="132">
        <v>1.9</v>
      </c>
      <c r="E25" s="132">
        <v>0.2</v>
      </c>
      <c r="F25" s="133">
        <v>10.0</v>
      </c>
      <c r="G25" s="134">
        <v>0.585</v>
      </c>
      <c r="H25" s="135">
        <f t="shared" ref="H25:H26" si="1">D25*0.15</f>
        <v>0.285</v>
      </c>
      <c r="I25" s="135">
        <f t="shared" ref="I25:I26" si="2">G25*E25/$I$58/0.15</f>
        <v>1.780821918</v>
      </c>
      <c r="J25" s="135">
        <f t="shared" ref="J25:J26" si="3">sqrt(F25/6.9)</f>
        <v>1.203858531</v>
      </c>
      <c r="K25" s="136">
        <f t="shared" ref="K25:K26" si="4">I25*J25</f>
        <v>2.143857658</v>
      </c>
      <c r="L25" s="137">
        <f t="shared" ref="L25:L26" si="5">H25*K25</f>
        <v>0.6109994324</v>
      </c>
      <c r="M25" s="138"/>
      <c r="N25" s="139"/>
      <c r="O25" s="140"/>
      <c r="P25" s="141"/>
      <c r="Q25" s="142"/>
      <c r="R25" s="143"/>
      <c r="S25" s="143"/>
      <c r="T25" s="144"/>
      <c r="U25" s="145"/>
    </row>
    <row r="26" ht="19.5" customHeight="1">
      <c r="A26" s="129"/>
      <c r="B26" s="146">
        <v>1.0</v>
      </c>
      <c r="C26" s="131">
        <v>45659.0</v>
      </c>
      <c r="D26" s="132">
        <v>0.0</v>
      </c>
      <c r="E26" s="132">
        <v>0.2</v>
      </c>
      <c r="F26" s="133">
        <v>10.0</v>
      </c>
      <c r="G26" s="134">
        <v>0.0</v>
      </c>
      <c r="H26" s="135">
        <f t="shared" si="1"/>
        <v>0</v>
      </c>
      <c r="I26" s="135">
        <f t="shared" si="2"/>
        <v>0</v>
      </c>
      <c r="J26" s="135">
        <f t="shared" si="3"/>
        <v>1.203858531</v>
      </c>
      <c r="K26" s="136">
        <f t="shared" si="4"/>
        <v>0</v>
      </c>
      <c r="L26" s="137">
        <f t="shared" si="5"/>
        <v>0</v>
      </c>
      <c r="M26" s="138"/>
      <c r="N26" s="139"/>
      <c r="O26" s="140"/>
      <c r="P26" s="141"/>
      <c r="Q26" s="142"/>
      <c r="R26" s="143"/>
      <c r="S26" s="143"/>
      <c r="T26" s="144"/>
      <c r="U26" s="145"/>
    </row>
    <row r="27" ht="16.5" customHeight="1">
      <c r="A27" s="129"/>
      <c r="B27" s="146">
        <v>1.0</v>
      </c>
      <c r="C27" s="147"/>
      <c r="D27" s="148"/>
      <c r="E27" s="148"/>
      <c r="F27" s="149"/>
      <c r="G27" s="150"/>
      <c r="H27" s="135"/>
      <c r="I27" s="135"/>
      <c r="J27" s="135"/>
      <c r="K27" s="136"/>
      <c r="L27" s="137"/>
      <c r="M27" s="151" t="s">
        <v>141</v>
      </c>
      <c r="N27" s="137">
        <f>SUM(L25:L26)</f>
        <v>0.6109994324</v>
      </c>
      <c r="O27" s="152">
        <f>P9*(3.6/2+E25/2)</f>
        <v>7.03</v>
      </c>
      <c r="P27" s="141">
        <f>N27/O27</f>
        <v>0.08691314828</v>
      </c>
      <c r="Q27" s="142">
        <f>P27/$I$75</f>
        <v>1.519814062</v>
      </c>
      <c r="R27" s="143">
        <f>IF(D$12="Légère",IF($M27="Exterieur",VLOOKUP(D$8,Reference!$B$37:$Y$42,13,0),VLOOKUP(D$8,Reference!$B$37:$Y$42,15,0)),IF(P$14&gt;3,IF($M27="Exterieur",VLOOKUP(D$8,Reference!$B$37:$Y$42,21,0),VLOOKUP(D$8,Reference!$B$37:$Y$42,23,0)),IF($M27="Exterieur",VLOOKUP(D$8,Reference!$B$37:$Y$42,17,0),VLOOKUP(D$8,Reference!$B$37:$Y$42,19,0))))</f>
        <v>1.5</v>
      </c>
      <c r="S27" s="143">
        <f>IF(D$12="Légère",IF($M27="Exterieur",VLOOKUP(D$8,Reference!$B$37:$Y$42,14,0),VLOOKUP(D$8,Reference!$B$37:$Y$42,16,0)),IF(P$14&gt;3,IF($M27="Exterieur",VLOOKUP(D$8,Reference!$B$37:$Y$42,22,0),VLOOKUP(D$8,Reference!$B$37:$Y$42,24,0)),IF($M27="Exterieur",VLOOKUP(D$8,Reference!$B$37:$Y$42,18,0),VLOOKUP(D$8,Reference!$B$37:$Y$42,20,0))))</f>
        <v>3</v>
      </c>
      <c r="T27" s="144">
        <f>R27/Q27</f>
        <v>0.9869628382</v>
      </c>
      <c r="U27" s="145" t="str">
        <f>if(and(Q27&gt;=R27,Q27&lt;=S27),"OK","NG")</f>
        <v>OK</v>
      </c>
    </row>
    <row r="28" ht="16.5" customHeight="1">
      <c r="A28" s="129"/>
      <c r="B28" s="130">
        <v>2.0</v>
      </c>
      <c r="C28" s="131">
        <v>45689.0</v>
      </c>
      <c r="D28" s="132">
        <v>2.4</v>
      </c>
      <c r="E28" s="132">
        <v>0.2</v>
      </c>
      <c r="F28" s="133">
        <v>10.0</v>
      </c>
      <c r="G28" s="134">
        <v>0.414</v>
      </c>
      <c r="H28" s="135">
        <f>D28*0.15</f>
        <v>0.36</v>
      </c>
      <c r="I28" s="135">
        <f>G28*E28/$I$58/0.15</f>
        <v>1.260273973</v>
      </c>
      <c r="J28" s="135">
        <f>sqrt(F28/6.9)</f>
        <v>1.203858531</v>
      </c>
      <c r="K28" s="136">
        <f>I28*J28</f>
        <v>1.517191573</v>
      </c>
      <c r="L28" s="137">
        <f>H28*K28</f>
        <v>0.5461889663</v>
      </c>
      <c r="M28" s="138"/>
      <c r="N28" s="139"/>
      <c r="O28" s="152"/>
      <c r="P28" s="153"/>
      <c r="Q28" s="142"/>
      <c r="R28" s="143"/>
      <c r="S28" s="143"/>
      <c r="T28" s="144"/>
      <c r="U28" s="145"/>
    </row>
    <row r="29" ht="16.5" customHeight="1">
      <c r="A29" s="129"/>
      <c r="B29" s="146">
        <v>2.0</v>
      </c>
      <c r="C29" s="147"/>
      <c r="D29" s="148"/>
      <c r="E29" s="148"/>
      <c r="F29" s="149"/>
      <c r="G29" s="150"/>
      <c r="H29" s="135"/>
      <c r="I29" s="135"/>
      <c r="J29" s="135"/>
      <c r="K29" s="136"/>
      <c r="L29" s="137"/>
      <c r="M29" s="151" t="s">
        <v>158</v>
      </c>
      <c r="N29" s="137">
        <f>L28</f>
        <v>0.5461889663</v>
      </c>
      <c r="O29" s="152">
        <f>3.6*$P$9</f>
        <v>13.32</v>
      </c>
      <c r="P29" s="141">
        <f>N29/O29</f>
        <v>0.04100517765</v>
      </c>
      <c r="Q29" s="142">
        <f>P29/$I$75</f>
        <v>0.7170404805</v>
      </c>
      <c r="R29" s="143">
        <f>IF(D$12="Légère",IF($M29="Exterieur",VLOOKUP(D$8,Reference!$B$37:$Y$42,13,0),VLOOKUP(D$8,Reference!$B$37:$Y$42,15,0)),IF(P$14&gt;3,IF($M29="Exterieur",VLOOKUP(D$8,Reference!$B$37:$Y$42,21,0),VLOOKUP(D$8,Reference!$B$37:$Y$42,23,0)),IF($M29="Exterieur",VLOOKUP(D$8,Reference!$B$37:$Y$42,17,0),VLOOKUP(D$8,Reference!$B$37:$Y$42,19,0))))</f>
        <v>0.67</v>
      </c>
      <c r="S29" s="143">
        <f>IF(D$12="Légère",IF($M29="Exterieur",VLOOKUP(D$8,Reference!$B$37:$Y$42,14,0),VLOOKUP(D$8,Reference!$B$37:$Y$42,16,0)),IF(P$14&gt;3,IF($M29="Exterieur",VLOOKUP(D$8,Reference!$B$37:$Y$42,22,0),VLOOKUP(D$8,Reference!$B$37:$Y$42,24,0)),IF($M29="Exterieur",VLOOKUP(D$8,Reference!$B$37:$Y$42,18,0),VLOOKUP(D$8,Reference!$B$37:$Y$42,20,0))))</f>
        <v>2</v>
      </c>
      <c r="T29" s="144">
        <f>R29/Q29</f>
        <v>0.9343963392</v>
      </c>
      <c r="U29" s="145" t="str">
        <f>if(and(Q29&gt;=R29,Q29&lt;=S29),"OK","NG")</f>
        <v>OK</v>
      </c>
    </row>
    <row r="30" ht="16.5" customHeight="1">
      <c r="A30" s="129"/>
      <c r="B30" s="130">
        <v>3.0</v>
      </c>
      <c r="C30" s="131">
        <v>45717.0</v>
      </c>
      <c r="D30" s="132">
        <v>2.4</v>
      </c>
      <c r="E30" s="132">
        <v>0.2</v>
      </c>
      <c r="F30" s="133">
        <v>10.0</v>
      </c>
      <c r="G30" s="134">
        <v>0.414</v>
      </c>
      <c r="H30" s="135">
        <f>D30*0.15</f>
        <v>0.36</v>
      </c>
      <c r="I30" s="135">
        <f>G30*E30/$I$58/0.15</f>
        <v>1.260273973</v>
      </c>
      <c r="J30" s="135">
        <f>sqrt(F30/6.9)</f>
        <v>1.203858531</v>
      </c>
      <c r="K30" s="136">
        <f>I30*J30</f>
        <v>1.517191573</v>
      </c>
      <c r="L30" s="137">
        <f>H30*K30</f>
        <v>0.5461889663</v>
      </c>
      <c r="M30" s="138"/>
      <c r="N30" s="139"/>
      <c r="O30" s="152"/>
      <c r="P30" s="153"/>
      <c r="Q30" s="142"/>
      <c r="R30" s="143"/>
      <c r="S30" s="143"/>
      <c r="T30" s="144"/>
      <c r="U30" s="145"/>
    </row>
    <row r="31" ht="16.5" customHeight="1">
      <c r="A31" s="129"/>
      <c r="B31" s="146">
        <v>3.0</v>
      </c>
      <c r="C31" s="147"/>
      <c r="D31" s="148"/>
      <c r="E31" s="148"/>
      <c r="F31" s="149"/>
      <c r="G31" s="150"/>
      <c r="H31" s="135"/>
      <c r="I31" s="135"/>
      <c r="J31" s="135"/>
      <c r="K31" s="136"/>
      <c r="L31" s="137"/>
      <c r="M31" s="151" t="s">
        <v>158</v>
      </c>
      <c r="N31" s="137">
        <f>SUM(L30)</f>
        <v>0.5461889663</v>
      </c>
      <c r="O31" s="152">
        <f>3.6*$P$9</f>
        <v>13.32</v>
      </c>
      <c r="P31" s="141">
        <f>N31/O31</f>
        <v>0.04100517765</v>
      </c>
      <c r="Q31" s="142">
        <f>P31/$I$75</f>
        <v>0.7170404805</v>
      </c>
      <c r="R31" s="143">
        <f>IF(D$12="Légère",IF($M31="Exterieur",VLOOKUP(D$8,Reference!$B$37:$Y$42,13,0),VLOOKUP(D$8,Reference!$B$37:$Y$42,15,0)),IF(P$14&gt;3,IF($M31="Exterieur",VLOOKUP(D$8,Reference!$B$37:$Y$42,21,0),VLOOKUP(D$8,Reference!$B$37:$Y$42,23,0)),IF($M31="Exterieur",VLOOKUP(D$8,Reference!$B$37:$Y$42,17,0),VLOOKUP(D$8,Reference!$B$37:$Y$42,19,0))))</f>
        <v>0.67</v>
      </c>
      <c r="S31" s="143">
        <f>IF(D$12="Légère",IF($M31="Exterieur",VLOOKUP(D$8,Reference!$B$37:$Y$42,14,0),VLOOKUP(D$8,Reference!$B$37:$Y$42,16,0)),IF(P$14&gt;3,IF($M31="Exterieur",VLOOKUP(D$8,Reference!$B$37:$Y$42,22,0),VLOOKUP(D$8,Reference!$B$37:$Y$42,24,0)),IF($M31="Exterieur",VLOOKUP(D$8,Reference!$B$37:$Y$42,18,0),VLOOKUP(D$8,Reference!$B$37:$Y$42,20,0))))</f>
        <v>2</v>
      </c>
      <c r="T31" s="144">
        <f>R31/Q31</f>
        <v>0.9343963392</v>
      </c>
      <c r="U31" s="145" t="str">
        <f>if(and(Q31&gt;=R31,Q31&lt;=S31),"OK","NG")</f>
        <v>OK</v>
      </c>
    </row>
    <row r="32" ht="16.5" customHeight="1">
      <c r="A32" s="129"/>
      <c r="B32" s="130">
        <v>4.0</v>
      </c>
      <c r="C32" s="131">
        <v>45748.0</v>
      </c>
      <c r="D32" s="132">
        <v>2.4</v>
      </c>
      <c r="E32" s="132">
        <v>0.2</v>
      </c>
      <c r="F32" s="133">
        <v>10.0</v>
      </c>
      <c r="G32" s="134">
        <v>0.414</v>
      </c>
      <c r="H32" s="135">
        <f>D32*0.15</f>
        <v>0.36</v>
      </c>
      <c r="I32" s="135">
        <f>G32*E32/$I$58/0.15</f>
        <v>1.260273973</v>
      </c>
      <c r="J32" s="135">
        <f>sqrt(F32/6.9)</f>
        <v>1.203858531</v>
      </c>
      <c r="K32" s="136">
        <f>I32*J32</f>
        <v>1.517191573</v>
      </c>
      <c r="L32" s="137">
        <f>H32*K32</f>
        <v>0.5461889663</v>
      </c>
      <c r="M32" s="138"/>
      <c r="N32" s="139"/>
      <c r="O32" s="152"/>
      <c r="P32" s="153"/>
      <c r="Q32" s="142"/>
      <c r="R32" s="143"/>
      <c r="S32" s="143"/>
      <c r="T32" s="144"/>
      <c r="U32" s="145"/>
    </row>
    <row r="33" ht="16.5" customHeight="1">
      <c r="A33" s="129"/>
      <c r="B33" s="146">
        <v>4.0</v>
      </c>
      <c r="C33" s="147"/>
      <c r="D33" s="148"/>
      <c r="E33" s="148"/>
      <c r="F33" s="149"/>
      <c r="G33" s="150"/>
      <c r="H33" s="135"/>
      <c r="I33" s="135"/>
      <c r="J33" s="135"/>
      <c r="K33" s="136"/>
      <c r="L33" s="137"/>
      <c r="M33" s="151" t="s">
        <v>158</v>
      </c>
      <c r="N33" s="137">
        <f>SUM(L32)</f>
        <v>0.5461889663</v>
      </c>
      <c r="O33" s="152">
        <f>3.6*$P$9</f>
        <v>13.32</v>
      </c>
      <c r="P33" s="141">
        <f>N33/O33</f>
        <v>0.04100517765</v>
      </c>
      <c r="Q33" s="142">
        <f>P33/$I$75</f>
        <v>0.7170404805</v>
      </c>
      <c r="R33" s="143">
        <f>IF(D$12="Légère",IF($M33="Exterieur",VLOOKUP(D$8,Reference!$B$37:$Y$42,13,0),VLOOKUP(D$8,Reference!$B$37:$Y$42,15,0)),IF(P$14&gt;3,IF($M33="Exterieur",VLOOKUP(D$8,Reference!$B$37:$Y$42,21,0),VLOOKUP(D$8,Reference!$B$37:$Y$42,23,0)),IF($M33="Exterieur",VLOOKUP(D$8,Reference!$B$37:$Y$42,17,0),VLOOKUP(D$8,Reference!$B$37:$Y$42,19,0))))</f>
        <v>0.67</v>
      </c>
      <c r="S33" s="143">
        <f>IF(D$12="Légère",IF($M33="Exterieur",VLOOKUP(D$8,Reference!$B$37:$Y$42,14,0),VLOOKUP(D$8,Reference!$B$37:$Y$42,16,0)),IF(P$14&gt;3,IF($M33="Exterieur",VLOOKUP(D$8,Reference!$B$37:$Y$42,22,0),VLOOKUP(D$8,Reference!$B$37:$Y$42,24,0)),IF($M33="Exterieur",VLOOKUP(D$8,Reference!$B$37:$Y$42,18,0),VLOOKUP(D$8,Reference!$B$37:$Y$42,20,0))))</f>
        <v>2</v>
      </c>
      <c r="T33" s="144">
        <f>R33/Q33</f>
        <v>0.9343963392</v>
      </c>
      <c r="U33" s="145" t="str">
        <f>if(and(Q33&gt;=R33,Q33&lt;=S33),"OK","NG")</f>
        <v>OK</v>
      </c>
    </row>
    <row r="34" ht="16.5" customHeight="1">
      <c r="A34" s="129"/>
      <c r="B34" s="130">
        <v>5.0</v>
      </c>
      <c r="C34" s="131">
        <v>45778.0</v>
      </c>
      <c r="D34" s="132">
        <v>3.7</v>
      </c>
      <c r="E34" s="132">
        <v>0.2</v>
      </c>
      <c r="F34" s="133">
        <v>10.0</v>
      </c>
      <c r="G34" s="134">
        <v>0.414</v>
      </c>
      <c r="H34" s="135">
        <f t="shared" ref="H34:H35" si="6">D34*0.15</f>
        <v>0.555</v>
      </c>
      <c r="I34" s="135">
        <f t="shared" ref="I34:I35" si="7">G34*E34/$I$58/0.15</f>
        <v>1.260273973</v>
      </c>
      <c r="J34" s="135">
        <f t="shared" ref="J34:J35" si="8">sqrt(F34/6.9)</f>
        <v>1.203858531</v>
      </c>
      <c r="K34" s="136">
        <f t="shared" ref="K34:K35" si="9">I34*J34</f>
        <v>1.517191573</v>
      </c>
      <c r="L34" s="137">
        <f t="shared" ref="L34:L35" si="10">H34*K34</f>
        <v>0.8420413231</v>
      </c>
      <c r="M34" s="138"/>
      <c r="N34" s="139"/>
      <c r="O34" s="152"/>
      <c r="P34" s="153"/>
      <c r="Q34" s="142"/>
      <c r="R34" s="143"/>
      <c r="S34" s="143"/>
      <c r="T34" s="144"/>
      <c r="U34" s="145"/>
    </row>
    <row r="35" ht="20.25" customHeight="1">
      <c r="A35" s="129"/>
      <c r="B35" s="130">
        <v>5.0</v>
      </c>
      <c r="C35" s="131">
        <v>45779.0</v>
      </c>
      <c r="D35" s="132">
        <v>0.0</v>
      </c>
      <c r="E35" s="132">
        <v>0.2</v>
      </c>
      <c r="F35" s="133">
        <v>10.0</v>
      </c>
      <c r="G35" s="134">
        <v>0.0</v>
      </c>
      <c r="H35" s="135">
        <f t="shared" si="6"/>
        <v>0</v>
      </c>
      <c r="I35" s="135">
        <f t="shared" si="7"/>
        <v>0</v>
      </c>
      <c r="J35" s="135">
        <f t="shared" si="8"/>
        <v>1.203858531</v>
      </c>
      <c r="K35" s="136">
        <f t="shared" si="9"/>
        <v>0</v>
      </c>
      <c r="L35" s="137">
        <f t="shared" si="10"/>
        <v>0</v>
      </c>
      <c r="M35" s="138"/>
      <c r="N35" s="139"/>
      <c r="O35" s="152"/>
      <c r="P35" s="153"/>
      <c r="Q35" s="142"/>
      <c r="R35" s="143"/>
      <c r="S35" s="143"/>
      <c r="T35" s="144"/>
      <c r="U35" s="145"/>
    </row>
    <row r="36" ht="16.5" customHeight="1">
      <c r="A36" s="129"/>
      <c r="B36" s="146">
        <v>5.0</v>
      </c>
      <c r="C36" s="147"/>
      <c r="D36" s="148"/>
      <c r="E36" s="148"/>
      <c r="F36" s="154"/>
      <c r="G36" s="150"/>
      <c r="H36" s="135"/>
      <c r="I36" s="135"/>
      <c r="J36" s="155"/>
      <c r="K36" s="136"/>
      <c r="L36" s="137"/>
      <c r="M36" s="151" t="s">
        <v>141</v>
      </c>
      <c r="N36" s="137">
        <f>SUM(L34:L35)</f>
        <v>0.8420413231</v>
      </c>
      <c r="O36" s="152">
        <f>P9*(3.6/2+E34/2)</f>
        <v>7.03</v>
      </c>
      <c r="P36" s="141">
        <f>N36/O36</f>
        <v>0.1197782821</v>
      </c>
      <c r="Q36" s="142">
        <f>P36/$I$75</f>
        <v>2.094512982</v>
      </c>
      <c r="R36" s="143">
        <f>IF(D$12="Légère",IF($M36="Exterieur",VLOOKUP(D$8,Reference!$B$37:$Y$42,13,0),VLOOKUP(D$8,Reference!$B$37:$Y$42,15,0)),IF(P$14&gt;3,IF($M36="Exterieur",VLOOKUP(D$8,Reference!$B$37:$Y$42,21,0),VLOOKUP(D$8,Reference!$B$37:$Y$42,23,0)),IF($M36="Exterieur",VLOOKUP(D$8,Reference!$B$37:$Y$42,17,0),VLOOKUP(D$8,Reference!$B$37:$Y$42,19,0))))</f>
        <v>1.5</v>
      </c>
      <c r="S36" s="143">
        <f>IF(D$12="Légère",IF($M36="Exterieur",VLOOKUP(D$8,Reference!$B$37:$Y$42,14,0),VLOOKUP(D$8,Reference!$B$37:$Y$42,16,0)),IF(P$14&gt;3,IF($M36="Exterieur",VLOOKUP(D$8,Reference!$B$37:$Y$42,22,0),VLOOKUP(D$8,Reference!$B$37:$Y$42,24,0)),IF($M36="Exterieur",VLOOKUP(D$8,Reference!$B$37:$Y$42,18,0),VLOOKUP(D$8,Reference!$B$37:$Y$42,20,0))))</f>
        <v>3</v>
      </c>
      <c r="T36" s="144">
        <f>R36/Q36</f>
        <v>0.716156936</v>
      </c>
      <c r="U36" s="145" t="str">
        <f>if(and(Q36&gt;=R36,Q36&lt;=S36),"OK","NG")</f>
        <v>OK</v>
      </c>
    </row>
    <row r="37" ht="16.5" customHeight="1">
      <c r="A37" s="129"/>
      <c r="B37" s="156"/>
      <c r="C37" s="157"/>
      <c r="D37" s="158"/>
      <c r="E37" s="158"/>
      <c r="F37" s="159"/>
      <c r="G37" s="160"/>
      <c r="H37" s="161"/>
      <c r="I37" s="161"/>
      <c r="J37" s="162"/>
      <c r="K37" s="163"/>
      <c r="L37" s="164"/>
      <c r="M37" s="165"/>
      <c r="N37" s="166"/>
      <c r="O37" s="167"/>
      <c r="P37" s="168"/>
      <c r="Q37" s="169"/>
      <c r="R37" s="170"/>
      <c r="S37" s="170"/>
      <c r="T37" s="171"/>
      <c r="U37" s="128"/>
    </row>
    <row r="38" ht="16.5" customHeight="1">
      <c r="B38" s="172" t="s">
        <v>159</v>
      </c>
      <c r="C38" s="173"/>
      <c r="D38" s="173"/>
      <c r="E38" s="173"/>
      <c r="F38" s="173"/>
      <c r="G38" s="173"/>
      <c r="H38" s="174">
        <f>sum(H25:H37)</f>
        <v>1.92</v>
      </c>
      <c r="I38" s="175"/>
      <c r="J38" s="175"/>
      <c r="K38" s="176" t="s">
        <v>160</v>
      </c>
      <c r="L38" s="177">
        <f>SUM(L25:L37)</f>
        <v>3.091607655</v>
      </c>
      <c r="M38" s="178" t="s">
        <v>161</v>
      </c>
      <c r="N38" s="177">
        <f t="shared" ref="N38:O38" si="11">SUM(N25:N37)</f>
        <v>3.091607655</v>
      </c>
      <c r="O38" s="179">
        <f t="shared" si="11"/>
        <v>54.02</v>
      </c>
      <c r="P38" s="180">
        <f>N38/O38</f>
        <v>0.05723079701</v>
      </c>
      <c r="Q38" s="169">
        <f>P38/$I$75</f>
        <v>1.000771135</v>
      </c>
      <c r="R38" s="181">
        <v>1.0</v>
      </c>
      <c r="S38" s="182" t="s">
        <v>162</v>
      </c>
      <c r="T38" s="183">
        <f>max(T25:T37)</f>
        <v>0.9869628382</v>
      </c>
      <c r="U38" s="128" t="str">
        <f>if(COUNTIF($U$25:$U$37, "NG")&gt;0,"NG",if($P$38&gt;=$I$75,"OK","NG"))</f>
        <v>OK</v>
      </c>
    </row>
    <row r="39" ht="16.5" customHeight="1">
      <c r="B39" s="184"/>
      <c r="C39" s="184"/>
      <c r="D39" s="184"/>
      <c r="E39" s="184"/>
      <c r="F39" s="184"/>
      <c r="G39" s="185"/>
      <c r="H39" s="185"/>
      <c r="I39" s="186"/>
      <c r="J39" s="187"/>
      <c r="K39" s="70" t="s">
        <v>163</v>
      </c>
      <c r="L39" s="188">
        <f>IF(ISERROR(L38/$R$15),"",L38/$R$15)</f>
        <v>0.05723079701</v>
      </c>
      <c r="M39" s="189" t="s">
        <v>164</v>
      </c>
      <c r="N39" s="186"/>
      <c r="O39" s="190">
        <f>R15</f>
        <v>54.02</v>
      </c>
      <c r="P39" s="191">
        <f>L39</f>
        <v>0.05723079701</v>
      </c>
      <c r="Q39" s="185" t="s">
        <v>165</v>
      </c>
      <c r="R39" s="68"/>
      <c r="T39" s="68"/>
      <c r="U39" s="68"/>
    </row>
    <row r="40" ht="16.5" customHeight="1">
      <c r="B40" s="185"/>
      <c r="C40" s="184"/>
      <c r="D40" s="184"/>
      <c r="E40" s="184"/>
      <c r="F40" s="184"/>
      <c r="G40" s="185"/>
      <c r="H40" s="185"/>
      <c r="I40" s="186"/>
      <c r="J40" s="187"/>
      <c r="K40" s="77" t="s">
        <v>166</v>
      </c>
      <c r="L40" s="192">
        <f>I75</f>
        <v>0.05718669834</v>
      </c>
      <c r="M40" s="71" t="s">
        <v>167</v>
      </c>
      <c r="N40" s="68"/>
      <c r="O40" s="97">
        <f>I77</f>
        <v>0.999229459</v>
      </c>
      <c r="P40" s="68"/>
      <c r="Q40" s="68"/>
      <c r="R40" s="68"/>
      <c r="T40" s="68"/>
      <c r="U40" s="68"/>
    </row>
    <row r="41" ht="16.5" customHeight="1">
      <c r="B41" s="185"/>
      <c r="C41" s="193"/>
      <c r="D41" s="193"/>
      <c r="E41" s="193"/>
      <c r="F41" s="193"/>
      <c r="G41" s="194"/>
      <c r="H41" s="194"/>
      <c r="I41" s="195"/>
      <c r="J41" s="195"/>
      <c r="K41" s="196"/>
      <c r="L41" s="197"/>
      <c r="M41" s="90"/>
      <c r="N41" s="129"/>
      <c r="O41" s="26"/>
      <c r="Q41" s="198"/>
    </row>
    <row r="42" ht="16.5" customHeight="1">
      <c r="A42" s="47"/>
      <c r="B42" s="80"/>
      <c r="C42" s="44"/>
      <c r="D42" s="43"/>
      <c r="E42" s="43"/>
      <c r="F42" s="43"/>
      <c r="G42" s="43"/>
      <c r="H42" s="43"/>
      <c r="I42" s="43"/>
      <c r="J42" s="43"/>
      <c r="K42" s="43"/>
      <c r="L42" s="43"/>
      <c r="M42" s="43"/>
      <c r="N42" s="43"/>
      <c r="O42" s="45"/>
      <c r="P42" s="43"/>
      <c r="Q42" s="47"/>
      <c r="R42" s="46"/>
      <c r="S42" s="47"/>
    </row>
    <row r="43" ht="28.5" customHeight="1">
      <c r="A43" s="47"/>
      <c r="B43" s="43"/>
      <c r="C43" s="44"/>
      <c r="D43" s="43"/>
      <c r="E43" s="43"/>
      <c r="F43" s="43"/>
      <c r="G43" s="43"/>
      <c r="H43" s="43"/>
      <c r="I43" s="43"/>
      <c r="J43" s="43"/>
      <c r="K43" s="43"/>
      <c r="L43" s="43"/>
      <c r="M43" s="43"/>
      <c r="N43" s="43"/>
      <c r="O43" s="45"/>
      <c r="P43" s="43"/>
      <c r="Q43" s="47"/>
      <c r="R43" s="46"/>
      <c r="S43" s="47"/>
    </row>
    <row r="44" ht="16.5" customHeight="1">
      <c r="A44" s="47"/>
      <c r="B44" s="43"/>
      <c r="C44" s="44"/>
      <c r="D44" s="43"/>
      <c r="E44" s="43"/>
      <c r="F44" s="43"/>
      <c r="G44" s="43"/>
      <c r="H44" s="43"/>
      <c r="I44" s="43"/>
      <c r="J44" s="43"/>
      <c r="K44" s="43"/>
      <c r="L44" s="43"/>
      <c r="M44" s="43"/>
      <c r="N44" s="43"/>
      <c r="O44" s="45"/>
      <c r="P44" s="43"/>
      <c r="Q44" s="47"/>
      <c r="R44" s="46"/>
      <c r="S44" s="47"/>
    </row>
    <row r="45" ht="16.5" customHeight="1">
      <c r="A45" s="47"/>
      <c r="B45" s="49" t="s">
        <v>75</v>
      </c>
      <c r="C45" s="50"/>
      <c r="D45" s="51"/>
      <c r="E45" s="51"/>
      <c r="F45" s="51"/>
      <c r="G45" s="51"/>
      <c r="H45" s="51"/>
      <c r="I45" s="51"/>
      <c r="J45" s="51"/>
      <c r="K45" s="51"/>
      <c r="L45" s="51"/>
      <c r="M45" s="51"/>
      <c r="N45" s="52" t="s">
        <v>76</v>
      </c>
      <c r="O45" s="52"/>
      <c r="P45" s="51"/>
      <c r="Q45" s="51"/>
      <c r="R45" s="53"/>
      <c r="S45" s="54"/>
    </row>
    <row r="46" ht="16.5" customHeight="1">
      <c r="A46" s="47"/>
      <c r="B46" s="49" t="s">
        <v>77</v>
      </c>
      <c r="C46" s="55" t="s">
        <v>78</v>
      </c>
      <c r="D46" s="56"/>
      <c r="E46" s="51"/>
      <c r="F46" s="51"/>
      <c r="G46" s="51"/>
      <c r="H46" s="51"/>
      <c r="I46" s="51"/>
      <c r="J46" s="51"/>
      <c r="K46" s="51"/>
      <c r="L46" s="51"/>
      <c r="M46" s="51"/>
      <c r="N46" s="57" t="s">
        <v>79</v>
      </c>
      <c r="O46" s="57"/>
      <c r="P46" s="51"/>
      <c r="Q46" s="51"/>
      <c r="R46" s="53"/>
      <c r="S46" s="54"/>
    </row>
    <row r="47" ht="16.5" customHeight="1">
      <c r="A47" s="47"/>
      <c r="B47" s="51"/>
      <c r="C47" s="52"/>
      <c r="D47" s="56"/>
      <c r="E47" s="51"/>
      <c r="F47" s="51"/>
      <c r="G47" s="51"/>
      <c r="H47" s="51"/>
      <c r="I47" s="51"/>
      <c r="J47" s="51"/>
      <c r="K47" s="51"/>
      <c r="L47" s="51"/>
      <c r="M47" s="51"/>
      <c r="N47" s="57" t="s">
        <v>80</v>
      </c>
      <c r="O47" s="57"/>
      <c r="P47" s="51"/>
      <c r="Q47" s="51"/>
      <c r="R47" s="53"/>
      <c r="S47" s="54"/>
    </row>
    <row r="48" ht="16.5" customHeight="1">
      <c r="A48" s="33"/>
      <c r="B48" s="33"/>
      <c r="C48" s="46"/>
      <c r="D48" s="33"/>
      <c r="E48" s="33"/>
      <c r="F48" s="33"/>
      <c r="G48" s="33"/>
      <c r="H48" s="33"/>
      <c r="I48" s="33"/>
      <c r="J48" s="33"/>
      <c r="K48" s="33"/>
      <c r="L48" s="33"/>
      <c r="M48" s="33"/>
      <c r="N48" s="33"/>
      <c r="O48" s="33"/>
      <c r="P48" s="33"/>
      <c r="Q48" s="33"/>
      <c r="R48" s="46"/>
      <c r="S48" s="33"/>
    </row>
    <row r="49" ht="33.0" customHeight="1">
      <c r="K49" s="98" t="s">
        <v>111</v>
      </c>
      <c r="O49" s="199"/>
      <c r="P49" s="199"/>
      <c r="R49" s="199"/>
      <c r="S49" s="199"/>
    </row>
    <row r="50" ht="15.75" customHeight="1">
      <c r="O50" s="199"/>
      <c r="P50" s="199"/>
      <c r="R50" s="199"/>
      <c r="S50" s="199"/>
    </row>
    <row r="51" ht="18.75" customHeight="1">
      <c r="A51" s="200"/>
      <c r="B51" s="201" t="s">
        <v>168</v>
      </c>
      <c r="C51" s="201"/>
      <c r="D51" s="202"/>
      <c r="E51" s="202"/>
      <c r="F51" s="202"/>
      <c r="G51" s="203"/>
      <c r="H51" s="203"/>
      <c r="I51" s="204"/>
      <c r="J51" s="199"/>
      <c r="K51" s="199"/>
      <c r="L51" s="205"/>
      <c r="O51" s="199"/>
      <c r="P51" s="199"/>
      <c r="Q51" s="199"/>
      <c r="R51" s="199"/>
      <c r="T51" s="206"/>
      <c r="U51" s="206"/>
    </row>
    <row r="52" ht="19.5" customHeight="1">
      <c r="C52" s="199"/>
      <c r="D52" s="199"/>
      <c r="E52" s="207"/>
      <c r="F52" s="207"/>
      <c r="G52" s="208"/>
      <c r="H52" s="208"/>
      <c r="I52" s="209"/>
      <c r="J52" s="210"/>
      <c r="K52" s="211"/>
      <c r="L52" s="211"/>
      <c r="M52" s="207"/>
      <c r="N52" s="207"/>
      <c r="O52" s="207"/>
      <c r="P52" s="207"/>
      <c r="Q52" s="199"/>
      <c r="R52" s="199"/>
      <c r="T52" s="206"/>
      <c r="U52" s="206"/>
    </row>
    <row r="53" ht="18.0" customHeight="1">
      <c r="B53" s="212" t="s">
        <v>169</v>
      </c>
      <c r="C53" s="199"/>
      <c r="D53" s="199"/>
      <c r="E53" s="207"/>
      <c r="F53" s="207"/>
      <c r="G53" s="208"/>
      <c r="H53" s="208" t="s">
        <v>170</v>
      </c>
      <c r="I53" s="209">
        <f>D18</f>
        <v>1.3992</v>
      </c>
      <c r="J53" s="210" t="s">
        <v>171</v>
      </c>
      <c r="K53" s="211"/>
      <c r="L53" s="211"/>
      <c r="M53" s="207"/>
      <c r="N53" s="207"/>
      <c r="O53" s="207"/>
      <c r="P53" s="207"/>
      <c r="Q53" s="199"/>
      <c r="R53" s="199"/>
      <c r="T53" s="206"/>
      <c r="U53" s="206"/>
    </row>
    <row r="54" ht="15.75" customHeight="1">
      <c r="B54" s="33"/>
      <c r="C54" s="199"/>
      <c r="D54" s="199"/>
      <c r="E54" s="207"/>
      <c r="F54" s="207"/>
      <c r="G54" s="213"/>
      <c r="H54" s="208" t="s">
        <v>172</v>
      </c>
      <c r="I54" s="209">
        <f>if($D$12="Lourde",lookup($D$8,Reference!$B$37:$B$42,Reference!$I$37:$I$42),lookup($D$8,Reference!$B$37:$B$42,Reference!$J$37:$J$42))</f>
        <v>0.94</v>
      </c>
      <c r="J54" s="210" t="s">
        <v>173</v>
      </c>
      <c r="K54" s="207"/>
      <c r="L54" s="207"/>
      <c r="M54" s="207"/>
      <c r="N54" s="207"/>
      <c r="O54" s="207"/>
      <c r="P54" s="207"/>
      <c r="Q54" s="199"/>
      <c r="R54" s="199"/>
      <c r="T54" s="206"/>
      <c r="U54" s="206"/>
      <c r="V54" s="206"/>
    </row>
    <row r="55" ht="15.75" customHeight="1">
      <c r="B55" s="33"/>
      <c r="C55" s="199"/>
      <c r="D55" s="199"/>
      <c r="E55" s="207"/>
      <c r="F55" s="207"/>
      <c r="G55" s="213"/>
      <c r="H55" s="208" t="s">
        <v>174</v>
      </c>
      <c r="I55" s="209">
        <f>if($D$12="Lourde",lookup($D$8,Reference!$B$37:$B$42,Reference!$G$37:$G$42),lookup($D$8,Reference!$B$37:$B$42,Reference!$H$37:$H$42))</f>
        <v>1</v>
      </c>
      <c r="J55" s="210" t="s">
        <v>175</v>
      </c>
      <c r="K55" s="207"/>
      <c r="L55" s="207"/>
      <c r="M55" s="207"/>
      <c r="N55" s="207"/>
      <c r="O55" s="207"/>
      <c r="P55" s="207"/>
      <c r="Q55" s="199"/>
      <c r="R55" s="199"/>
      <c r="T55" s="206"/>
      <c r="U55" s="206"/>
      <c r="V55" s="206"/>
    </row>
    <row r="56" ht="15.75" customHeight="1">
      <c r="B56" s="33"/>
      <c r="C56" s="199"/>
      <c r="D56" s="199"/>
      <c r="E56" s="207"/>
      <c r="F56" s="207"/>
      <c r="G56" s="208"/>
      <c r="H56" s="208" t="s">
        <v>176</v>
      </c>
      <c r="I56" s="214">
        <v>1.333</v>
      </c>
      <c r="J56" s="210" t="s">
        <v>177</v>
      </c>
      <c r="K56" s="207"/>
      <c r="L56" s="207"/>
      <c r="M56" s="207"/>
      <c r="N56" s="207"/>
      <c r="O56" s="207"/>
      <c r="P56" s="207"/>
      <c r="Q56" s="199"/>
      <c r="R56" s="199"/>
      <c r="T56" s="206"/>
      <c r="U56" s="206"/>
      <c r="V56" s="206"/>
    </row>
    <row r="57" ht="15.75" customHeight="1">
      <c r="B57" s="33"/>
      <c r="C57" s="199"/>
      <c r="D57" s="199"/>
      <c r="E57" s="207"/>
      <c r="F57" s="207"/>
      <c r="G57" s="208"/>
      <c r="H57" s="208" t="s">
        <v>178</v>
      </c>
      <c r="I57" s="215">
        <f>lookup($D$8,Reference!$B$37:$B$42,Reference!$F$37:$F$42)</f>
        <v>1.14</v>
      </c>
      <c r="J57" s="210" t="s">
        <v>179</v>
      </c>
      <c r="K57" s="207"/>
      <c r="L57" s="207"/>
      <c r="M57" s="207"/>
      <c r="N57" s="207"/>
      <c r="O57" s="207"/>
      <c r="P57" s="207"/>
      <c r="Q57" s="199"/>
      <c r="R57" s="199"/>
      <c r="T57" s="206"/>
      <c r="U57" s="206"/>
      <c r="V57" s="206"/>
    </row>
    <row r="58" ht="15.75" customHeight="1">
      <c r="C58" s="199"/>
      <c r="D58" s="199"/>
      <c r="E58" s="207"/>
      <c r="F58" s="207"/>
      <c r="G58" s="208"/>
      <c r="H58" s="208" t="s">
        <v>180</v>
      </c>
      <c r="I58" s="216">
        <v>0.438</v>
      </c>
      <c r="J58" s="210" t="s">
        <v>181</v>
      </c>
      <c r="K58" s="207"/>
      <c r="L58" s="207"/>
      <c r="M58" s="207"/>
      <c r="N58" s="207"/>
      <c r="O58" s="207"/>
      <c r="P58" s="207"/>
      <c r="Q58" s="199"/>
      <c r="R58" s="199"/>
      <c r="T58" s="206"/>
      <c r="U58" s="206"/>
      <c r="V58" s="206"/>
    </row>
    <row r="59" ht="15.75" customHeight="1">
      <c r="B59" s="33"/>
      <c r="C59" s="199"/>
      <c r="D59" s="199"/>
      <c r="E59" s="207"/>
      <c r="F59" s="207"/>
      <c r="G59" s="208"/>
      <c r="H59" s="208" t="s">
        <v>182</v>
      </c>
      <c r="I59" s="217">
        <v>7.5735</v>
      </c>
      <c r="J59" s="218" t="s">
        <v>183</v>
      </c>
      <c r="K59" s="219">
        <f>I59*20.885</f>
        <v>158.1725475</v>
      </c>
      <c r="L59" s="211" t="s">
        <v>184</v>
      </c>
      <c r="M59" s="207"/>
      <c r="N59" s="72"/>
      <c r="O59" s="207"/>
      <c r="P59" s="207"/>
      <c r="Q59" s="199"/>
      <c r="R59" s="199"/>
      <c r="T59" s="206"/>
      <c r="U59" s="206"/>
      <c r="V59" s="206"/>
    </row>
    <row r="60" ht="15.75" customHeight="1">
      <c r="B60" s="33"/>
      <c r="C60" s="199"/>
      <c r="D60" s="199"/>
      <c r="E60" s="207"/>
      <c r="F60" s="207"/>
      <c r="G60" s="208"/>
      <c r="H60" s="208" t="s">
        <v>185</v>
      </c>
      <c r="I60" s="220">
        <v>6.9</v>
      </c>
      <c r="J60" s="221" t="s">
        <v>186</v>
      </c>
      <c r="K60" s="222">
        <f>I60*145.038</f>
        <v>1000.7622</v>
      </c>
      <c r="L60" s="223" t="s">
        <v>187</v>
      </c>
      <c r="M60" s="223" t="s">
        <v>188</v>
      </c>
      <c r="N60" s="72"/>
      <c r="O60" s="224"/>
      <c r="P60" s="224"/>
      <c r="Q60" s="33"/>
      <c r="R60" s="199"/>
      <c r="T60" s="206"/>
      <c r="U60" s="206"/>
      <c r="V60" s="206"/>
    </row>
    <row r="61" ht="15.75" customHeight="1">
      <c r="B61" s="33"/>
      <c r="C61" s="199"/>
      <c r="D61" s="199"/>
      <c r="E61" s="207"/>
      <c r="F61" s="207"/>
      <c r="G61" s="208"/>
      <c r="H61" s="208" t="s">
        <v>189</v>
      </c>
      <c r="I61" s="225">
        <f>0.1868*sqrt(I60)*1000</f>
        <v>490.683458</v>
      </c>
      <c r="J61" s="221" t="s">
        <v>183</v>
      </c>
      <c r="K61" s="222">
        <f>2.25*sqrt(K60)</f>
        <v>71.17835793</v>
      </c>
      <c r="L61" s="223" t="s">
        <v>187</v>
      </c>
      <c r="M61" s="223" t="s">
        <v>190</v>
      </c>
      <c r="N61" s="72"/>
      <c r="O61" s="223"/>
      <c r="P61" s="223"/>
      <c r="Q61" s="33"/>
      <c r="R61" s="199"/>
      <c r="T61" s="206"/>
      <c r="U61" s="206"/>
      <c r="V61" s="206"/>
    </row>
    <row r="62" ht="15.75" customHeight="1">
      <c r="E62" s="72"/>
      <c r="F62" s="72"/>
      <c r="G62" s="226"/>
      <c r="H62" s="226" t="s">
        <v>191</v>
      </c>
      <c r="I62" s="220">
        <v>0.8</v>
      </c>
      <c r="J62" s="221"/>
      <c r="K62" s="227"/>
      <c r="L62" s="227"/>
      <c r="M62" s="223" t="s">
        <v>192</v>
      </c>
      <c r="N62" s="72"/>
      <c r="O62" s="72"/>
      <c r="P62" s="72"/>
      <c r="T62" s="206"/>
      <c r="U62" s="206"/>
      <c r="V62" s="206"/>
    </row>
    <row r="63" ht="15.75" customHeight="1">
      <c r="B63" s="33"/>
      <c r="C63" s="199"/>
      <c r="D63" s="199"/>
      <c r="E63" s="207"/>
      <c r="F63" s="207"/>
      <c r="G63" s="208"/>
      <c r="H63" s="208" t="s">
        <v>193</v>
      </c>
      <c r="I63" s="219">
        <f>I61*I62</f>
        <v>392.5467664</v>
      </c>
      <c r="J63" s="218" t="s">
        <v>183</v>
      </c>
      <c r="K63" s="223"/>
      <c r="L63" s="223"/>
      <c r="M63" s="224"/>
      <c r="N63" s="224"/>
      <c r="O63" s="223"/>
      <c r="P63" s="223"/>
      <c r="Q63" s="33"/>
      <c r="R63" s="199"/>
      <c r="T63" s="206"/>
      <c r="U63" s="206"/>
      <c r="V63" s="206"/>
    </row>
    <row r="64" ht="15.75" customHeight="1">
      <c r="B64" s="33"/>
      <c r="C64" s="199"/>
      <c r="D64" s="199"/>
      <c r="E64" s="207"/>
      <c r="F64" s="207"/>
      <c r="G64" s="208"/>
      <c r="H64" s="208" t="s">
        <v>194</v>
      </c>
      <c r="I64" s="228">
        <v>1.5</v>
      </c>
      <c r="J64" s="210" t="s">
        <v>195</v>
      </c>
      <c r="K64" s="207"/>
      <c r="L64" s="207"/>
      <c r="M64" s="207"/>
      <c r="N64" s="207"/>
      <c r="O64" s="207"/>
      <c r="P64" s="207"/>
      <c r="Q64" s="199"/>
      <c r="R64" s="199"/>
      <c r="T64" s="206"/>
      <c r="U64" s="206"/>
      <c r="V64" s="206"/>
    </row>
    <row r="65" ht="15.75" customHeight="1">
      <c r="B65" s="33"/>
      <c r="C65" s="199"/>
      <c r="D65" s="199"/>
      <c r="E65" s="207"/>
      <c r="F65" s="207"/>
      <c r="G65" s="208"/>
      <c r="H65" s="208" t="s">
        <v>196</v>
      </c>
      <c r="I65" s="228">
        <v>3.0</v>
      </c>
      <c r="J65" s="210"/>
      <c r="K65" s="207"/>
      <c r="L65" s="207"/>
      <c r="M65" s="207"/>
      <c r="N65" s="207"/>
      <c r="O65" s="207"/>
      <c r="P65" s="207"/>
      <c r="Q65" s="199"/>
      <c r="R65" s="199"/>
      <c r="T65" s="206"/>
      <c r="U65" s="206"/>
      <c r="V65" s="206"/>
    </row>
    <row r="66" ht="15.75" customHeight="1">
      <c r="C66" s="199"/>
      <c r="D66" s="199"/>
      <c r="E66" s="207"/>
      <c r="F66" s="207"/>
      <c r="G66" s="213"/>
      <c r="H66" s="213"/>
      <c r="I66" s="209"/>
      <c r="J66" s="210"/>
      <c r="K66" s="207"/>
      <c r="L66" s="207"/>
      <c r="M66" s="207"/>
      <c r="N66" s="207"/>
      <c r="O66" s="207"/>
      <c r="P66" s="72"/>
      <c r="T66" s="206"/>
      <c r="U66" s="206"/>
      <c r="V66" s="206"/>
    </row>
    <row r="67" ht="18.0" customHeight="1">
      <c r="B67" s="229" t="s">
        <v>197</v>
      </c>
      <c r="C67" s="199"/>
      <c r="D67" s="230"/>
      <c r="E67" s="231"/>
      <c r="F67" s="231"/>
      <c r="G67" s="231"/>
      <c r="H67" s="231" t="s">
        <v>198</v>
      </c>
      <c r="I67" s="232">
        <f>$D$9*I59*I54*$R$15</f>
        <v>1153.719725</v>
      </c>
      <c r="J67" s="233" t="s">
        <v>199</v>
      </c>
      <c r="K67" s="234" t="s">
        <v>200</v>
      </c>
      <c r="L67" s="72"/>
      <c r="M67" s="207"/>
      <c r="N67" s="207"/>
      <c r="O67" s="207"/>
      <c r="P67" s="72"/>
      <c r="T67" s="206"/>
      <c r="U67" s="206"/>
      <c r="V67" s="206"/>
    </row>
    <row r="68" ht="18.0" customHeight="1">
      <c r="B68" s="32"/>
      <c r="C68" s="199"/>
      <c r="D68" s="230"/>
      <c r="E68" s="231"/>
      <c r="F68" s="231"/>
      <c r="G68" s="231"/>
      <c r="H68" s="231" t="s">
        <v>201</v>
      </c>
      <c r="I68" s="232">
        <f>I67*I53*I55/I65</f>
        <v>538.0948799</v>
      </c>
      <c r="J68" s="233" t="s">
        <v>199</v>
      </c>
      <c r="K68" s="234" t="s">
        <v>202</v>
      </c>
      <c r="L68" s="72"/>
      <c r="M68" s="207"/>
      <c r="N68" s="207"/>
      <c r="O68" s="207"/>
      <c r="P68" s="72"/>
      <c r="T68" s="206"/>
      <c r="U68" s="206"/>
      <c r="V68" s="206"/>
    </row>
    <row r="69" ht="18.0" customHeight="1">
      <c r="B69" s="33"/>
      <c r="C69" s="199"/>
      <c r="D69" s="235"/>
      <c r="E69" s="236"/>
      <c r="F69" s="236"/>
      <c r="G69" s="231"/>
      <c r="H69" s="231" t="s">
        <v>203</v>
      </c>
      <c r="I69" s="232">
        <f>I63*I56*I57/I64</f>
        <v>397.6812781</v>
      </c>
      <c r="J69" s="233" t="s">
        <v>183</v>
      </c>
      <c r="K69" s="234" t="s">
        <v>204</v>
      </c>
      <c r="L69" s="72"/>
      <c r="M69" s="207"/>
      <c r="N69" s="207"/>
      <c r="O69" s="207"/>
      <c r="P69" s="72"/>
      <c r="T69" s="206"/>
      <c r="U69" s="206"/>
      <c r="V69" s="206"/>
    </row>
    <row r="70" ht="18.0" customHeight="1">
      <c r="B70" s="33"/>
      <c r="C70" s="199"/>
      <c r="D70" s="235"/>
      <c r="E70" s="236"/>
      <c r="F70" s="236"/>
      <c r="G70" s="231"/>
      <c r="H70" s="231" t="s">
        <v>205</v>
      </c>
      <c r="I70" s="214">
        <f>I68/I69</f>
        <v>1.353080745</v>
      </c>
      <c r="J70" s="233" t="s">
        <v>87</v>
      </c>
      <c r="K70" s="234" t="s">
        <v>206</v>
      </c>
      <c r="L70" s="72"/>
      <c r="M70" s="207"/>
      <c r="N70" s="207"/>
      <c r="O70" s="207"/>
      <c r="P70" s="72"/>
      <c r="T70" s="206"/>
      <c r="U70" s="206"/>
      <c r="V70" s="206"/>
    </row>
    <row r="71" ht="18.0" customHeight="1">
      <c r="B71" s="33"/>
      <c r="C71" s="199"/>
      <c r="D71" s="230"/>
      <c r="E71" s="231"/>
      <c r="F71" s="231"/>
      <c r="G71" s="231"/>
      <c r="H71" s="231" t="s">
        <v>207</v>
      </c>
      <c r="I71" s="214">
        <f>I70/$I$58</f>
        <v>3.089225444</v>
      </c>
      <c r="J71" s="233" t="s">
        <v>87</v>
      </c>
      <c r="K71" s="234" t="s">
        <v>208</v>
      </c>
      <c r="L71" s="72"/>
      <c r="M71" s="207"/>
      <c r="N71" s="207"/>
      <c r="O71" s="207"/>
      <c r="P71" s="72"/>
      <c r="T71" s="206"/>
      <c r="U71" s="206"/>
      <c r="V71" s="206"/>
    </row>
    <row r="72" ht="18.0" customHeight="1">
      <c r="B72" s="33"/>
      <c r="C72" s="199"/>
      <c r="D72" s="235"/>
      <c r="E72" s="236"/>
      <c r="F72" s="236"/>
      <c r="G72" s="231"/>
      <c r="H72" s="231" t="s">
        <v>209</v>
      </c>
      <c r="I72" s="237">
        <f>I71/$P$7</f>
        <v>0.05718669834</v>
      </c>
      <c r="J72" s="238"/>
      <c r="K72" s="234" t="s">
        <v>210</v>
      </c>
      <c r="L72" s="72"/>
      <c r="M72" s="207"/>
      <c r="N72" s="207"/>
      <c r="O72" s="207"/>
      <c r="P72" s="207"/>
      <c r="Q72" s="199"/>
      <c r="R72" s="199"/>
      <c r="T72" s="206"/>
      <c r="U72" s="206"/>
      <c r="V72" s="206"/>
    </row>
    <row r="73" ht="18.0" customHeight="1">
      <c r="B73" s="33"/>
      <c r="C73" s="199"/>
      <c r="D73" s="199"/>
      <c r="E73" s="207"/>
      <c r="F73" s="207"/>
      <c r="G73" s="208"/>
      <c r="H73" s="208" t="s">
        <v>211</v>
      </c>
      <c r="I73" s="239">
        <f>I59*$D$9*I54*I53*I55*I64/(I65*I62*I61*I56*I57*I58)</f>
        <v>0.05718669834</v>
      </c>
      <c r="J73" s="240" t="s">
        <v>212</v>
      </c>
      <c r="K73" s="241" t="s">
        <v>213</v>
      </c>
      <c r="L73" s="72"/>
      <c r="M73" s="207"/>
      <c r="N73" s="207"/>
      <c r="O73" s="207"/>
      <c r="P73" s="242"/>
      <c r="Q73" s="199"/>
      <c r="R73" s="199"/>
      <c r="T73" s="206"/>
      <c r="U73" s="206"/>
      <c r="V73" s="206"/>
    </row>
    <row r="74" ht="18.0" customHeight="1">
      <c r="B74" s="33"/>
      <c r="C74" s="199"/>
      <c r="D74" s="199"/>
      <c r="E74" s="207"/>
      <c r="F74" s="207"/>
      <c r="G74" s="213"/>
      <c r="H74" s="208" t="s">
        <v>214</v>
      </c>
      <c r="I74" s="239">
        <f>MAX(0.01,0.0075*I53)*(1.33/$I$56)</f>
        <v>0.0104703826</v>
      </c>
      <c r="J74" s="210" t="s">
        <v>215</v>
      </c>
      <c r="K74" s="207"/>
      <c r="L74" s="207"/>
      <c r="M74" s="207"/>
      <c r="N74" s="72"/>
      <c r="O74" s="72"/>
      <c r="P74" s="72"/>
      <c r="T74" s="206"/>
      <c r="U74" s="206"/>
      <c r="V74" s="206"/>
    </row>
    <row r="75" ht="18.0" customHeight="1">
      <c r="B75" s="199"/>
      <c r="C75" s="199"/>
      <c r="D75" s="199"/>
      <c r="E75" s="207"/>
      <c r="F75" s="207"/>
      <c r="G75" s="213"/>
      <c r="H75" s="208" t="s">
        <v>216</v>
      </c>
      <c r="I75" s="239">
        <f>max(I74,I73)</f>
        <v>0.05718669834</v>
      </c>
      <c r="J75" s="210" t="s">
        <v>217</v>
      </c>
      <c r="K75" s="207"/>
      <c r="L75" s="207"/>
      <c r="M75" s="207"/>
      <c r="N75" s="207"/>
      <c r="O75" s="211"/>
      <c r="P75" s="207"/>
      <c r="T75" s="206"/>
      <c r="U75" s="206"/>
      <c r="V75" s="206"/>
    </row>
    <row r="76" ht="22.5" customHeight="1">
      <c r="B76" s="33"/>
      <c r="C76" s="58"/>
      <c r="D76" s="47"/>
      <c r="E76" s="224"/>
      <c r="F76" s="224"/>
      <c r="G76" s="72"/>
      <c r="H76" s="72"/>
      <c r="I76" s="224"/>
      <c r="J76" s="224"/>
      <c r="K76" s="207"/>
      <c r="L76" s="207"/>
      <c r="M76" s="207"/>
      <c r="N76" s="207"/>
      <c r="O76" s="207"/>
      <c r="P76" s="207"/>
      <c r="U76" s="243"/>
    </row>
    <row r="77" ht="18.0" customHeight="1">
      <c r="A77" s="244" t="s">
        <v>218</v>
      </c>
      <c r="C77" s="245"/>
      <c r="D77" s="246"/>
      <c r="E77" s="224"/>
      <c r="F77" s="224"/>
      <c r="G77" s="231"/>
      <c r="H77" s="231" t="s">
        <v>219</v>
      </c>
      <c r="I77" s="217">
        <f>IF(ISERROR(I75/L39),"",I75/L39)</f>
        <v>0.999229459</v>
      </c>
      <c r="J77" s="247" t="str">
        <f t="shared" ref="J77:J78" si="12">IF(I77="","",IF(I77&lt;=1,"OK","NG"))</f>
        <v>OK</v>
      </c>
      <c r="K77" s="211" t="s">
        <v>220</v>
      </c>
      <c r="L77" s="72"/>
      <c r="M77" s="207"/>
      <c r="N77" s="207"/>
      <c r="O77" s="207"/>
      <c r="P77" s="207"/>
      <c r="T77" s="248"/>
      <c r="U77" s="205"/>
    </row>
    <row r="78" ht="18.0" customHeight="1">
      <c r="A78" s="244" t="s">
        <v>221</v>
      </c>
      <c r="B78" s="249"/>
      <c r="C78" s="246"/>
      <c r="D78" s="246"/>
      <c r="E78" s="224"/>
      <c r="F78" s="224"/>
      <c r="G78" s="231"/>
      <c r="H78" s="231" t="s">
        <v>219</v>
      </c>
      <c r="I78" s="209">
        <f>max(T38)</f>
        <v>0.9869628382</v>
      </c>
      <c r="J78" s="247" t="str">
        <f t="shared" si="12"/>
        <v>OK</v>
      </c>
      <c r="K78" s="211" t="s">
        <v>222</v>
      </c>
      <c r="L78" s="72"/>
      <c r="M78" s="207"/>
      <c r="N78" s="207"/>
      <c r="O78" s="207"/>
      <c r="P78" s="72"/>
      <c r="T78" s="248"/>
      <c r="U78" s="205"/>
      <c r="V78" s="205"/>
    </row>
    <row r="79" ht="18.0" customHeight="1">
      <c r="A79" s="244" t="s">
        <v>223</v>
      </c>
      <c r="B79" s="249"/>
      <c r="C79" s="249"/>
      <c r="D79" s="250"/>
      <c r="E79" s="72"/>
      <c r="F79" s="72"/>
      <c r="G79" s="226"/>
      <c r="H79" s="226"/>
      <c r="J79" s="251" t="str">
        <f>U38</f>
        <v>OK</v>
      </c>
      <c r="K79" s="252" t="s">
        <v>224</v>
      </c>
      <c r="L79" s="72"/>
      <c r="M79" s="72"/>
      <c r="N79" s="72"/>
      <c r="O79" s="72"/>
      <c r="P79" s="72"/>
      <c r="V79" s="206"/>
    </row>
    <row r="80" ht="18.0" customHeight="1">
      <c r="V80" s="206"/>
    </row>
    <row r="81" ht="18.0" customHeight="1">
      <c r="V81" s="206"/>
    </row>
    <row r="82" ht="26.25" customHeight="1">
      <c r="V82" s="206"/>
    </row>
    <row r="83" ht="31.5" customHeight="1">
      <c r="V83" s="206"/>
    </row>
    <row r="84" ht="27.0" customHeight="1">
      <c r="V84" s="206"/>
    </row>
    <row r="85" ht="15.75" customHeight="1"/>
    <row r="86" ht="15.75" customHeight="1">
      <c r="A86" s="43"/>
      <c r="B86" s="49" t="s">
        <v>75</v>
      </c>
      <c r="C86" s="50"/>
      <c r="D86" s="51"/>
      <c r="E86" s="51"/>
      <c r="F86" s="51"/>
      <c r="G86" s="51"/>
      <c r="H86" s="51"/>
      <c r="I86" s="51"/>
      <c r="J86" s="51"/>
      <c r="K86" s="51"/>
      <c r="L86" s="51"/>
      <c r="M86" s="51"/>
      <c r="N86" s="52" t="s">
        <v>76</v>
      </c>
      <c r="O86" s="52"/>
      <c r="P86" s="51"/>
      <c r="Q86" s="51"/>
      <c r="R86" s="53"/>
      <c r="S86" s="54"/>
    </row>
    <row r="87" ht="15.75" customHeight="1">
      <c r="A87" s="43"/>
      <c r="B87" s="49" t="s">
        <v>77</v>
      </c>
      <c r="C87" s="55" t="s">
        <v>78</v>
      </c>
      <c r="D87" s="56"/>
      <c r="E87" s="51"/>
      <c r="F87" s="51"/>
      <c r="G87" s="51"/>
      <c r="H87" s="51"/>
      <c r="I87" s="51"/>
      <c r="J87" s="51"/>
      <c r="K87" s="51"/>
      <c r="L87" s="51"/>
      <c r="M87" s="51"/>
      <c r="N87" s="57" t="s">
        <v>79</v>
      </c>
      <c r="O87" s="57"/>
      <c r="P87" s="51"/>
      <c r="Q87" s="51"/>
      <c r="R87" s="53"/>
      <c r="S87" s="54"/>
    </row>
    <row r="88" ht="15.75" customHeight="1">
      <c r="A88" s="43"/>
      <c r="B88" s="51"/>
      <c r="C88" s="52"/>
      <c r="D88" s="56"/>
      <c r="E88" s="51"/>
      <c r="F88" s="51"/>
      <c r="G88" s="51"/>
      <c r="H88" s="51"/>
      <c r="I88" s="51"/>
      <c r="J88" s="51"/>
      <c r="K88" s="51"/>
      <c r="L88" s="51"/>
      <c r="M88" s="51"/>
      <c r="N88" s="57" t="s">
        <v>80</v>
      </c>
      <c r="O88" s="57"/>
      <c r="P88" s="51"/>
      <c r="Q88" s="51"/>
      <c r="R88" s="53"/>
      <c r="S88" s="54"/>
    </row>
    <row r="89" ht="15.75" customHeight="1">
      <c r="A89" s="43"/>
      <c r="B89" s="43"/>
      <c r="C89" s="45"/>
      <c r="D89" s="43"/>
      <c r="E89" s="43"/>
      <c r="F89" s="43"/>
      <c r="G89" s="43"/>
      <c r="H89" s="43"/>
      <c r="I89" s="43"/>
      <c r="J89" s="43"/>
      <c r="K89" s="43"/>
      <c r="L89" s="43"/>
      <c r="M89" s="43"/>
      <c r="N89" s="43"/>
      <c r="O89" s="43"/>
      <c r="P89" s="43"/>
      <c r="Q89" s="43"/>
      <c r="R89" s="46"/>
      <c r="S89" s="33"/>
    </row>
    <row r="90" ht="30.0" customHeight="1">
      <c r="A90" s="43"/>
      <c r="B90" s="43"/>
      <c r="C90" s="45"/>
      <c r="D90" s="43"/>
      <c r="E90" s="43"/>
      <c r="F90" s="43"/>
      <c r="G90" s="43"/>
      <c r="H90" s="43"/>
      <c r="K90" s="98" t="s">
        <v>225</v>
      </c>
      <c r="L90" s="253"/>
      <c r="M90" s="43"/>
      <c r="N90" s="43"/>
      <c r="O90" s="43"/>
      <c r="P90" s="43"/>
      <c r="Q90" s="43"/>
      <c r="R90" s="46"/>
      <c r="S90" s="33"/>
    </row>
    <row r="91" ht="15.75" customHeight="1">
      <c r="A91" s="43"/>
      <c r="B91" s="43"/>
      <c r="C91" s="45"/>
      <c r="D91" s="43"/>
      <c r="E91" s="43"/>
      <c r="F91" s="43"/>
      <c r="G91" s="43"/>
      <c r="H91" s="43"/>
      <c r="I91" s="43"/>
      <c r="J91" s="43"/>
      <c r="K91" s="43"/>
      <c r="L91" s="43"/>
      <c r="M91" s="43"/>
      <c r="N91" s="43"/>
      <c r="O91" s="43"/>
      <c r="P91" s="43"/>
      <c r="Q91" s="43"/>
      <c r="R91" s="46"/>
      <c r="S91" s="33"/>
    </row>
    <row r="92" ht="15.75" customHeight="1">
      <c r="A92" s="58"/>
      <c r="B92" s="59" t="s">
        <v>81</v>
      </c>
      <c r="C92" s="60"/>
      <c r="D92" s="61"/>
      <c r="E92" s="61" t="s">
        <v>82</v>
      </c>
      <c r="F92" s="61"/>
      <c r="G92" s="60"/>
      <c r="H92" s="60"/>
      <c r="I92" s="43"/>
      <c r="J92" s="58"/>
      <c r="K92" s="62"/>
      <c r="L92" s="62"/>
      <c r="M92" s="62"/>
      <c r="N92" s="58"/>
      <c r="O92" s="58"/>
      <c r="R92" s="58"/>
    </row>
    <row r="93" ht="15.75" customHeight="1">
      <c r="A93" s="66"/>
      <c r="B93" s="67" t="s">
        <v>85</v>
      </c>
      <c r="C93" s="68"/>
      <c r="D93" s="68"/>
      <c r="E93" s="68"/>
      <c r="F93" s="68"/>
      <c r="G93" s="68"/>
      <c r="H93" s="68"/>
      <c r="I93" s="68"/>
      <c r="J93" s="5"/>
      <c r="K93" s="69"/>
      <c r="N93" s="68"/>
      <c r="O93" s="70" t="s">
        <v>86</v>
      </c>
      <c r="P93" s="86">
        <f t="shared" ref="P93:P95" si="13">P7</f>
        <v>54.02</v>
      </c>
      <c r="Q93" s="71" t="s">
        <v>87</v>
      </c>
      <c r="R93" s="71"/>
      <c r="S93" s="68"/>
      <c r="T93" s="68"/>
      <c r="U93" s="72"/>
    </row>
    <row r="94" ht="15.75" customHeight="1">
      <c r="A94" s="73"/>
      <c r="B94" s="74"/>
      <c r="C94" s="70" t="s">
        <v>88</v>
      </c>
      <c r="D94" s="75">
        <v>2.3</v>
      </c>
      <c r="E94" s="43" t="str">
        <f>lookup($D$94,Reference!$B$37:$B$42,Reference!$M$37:$M$42)</f>
        <v>Deuxième de trois étages</v>
      </c>
      <c r="F94" s="43"/>
      <c r="G94" s="43"/>
      <c r="H94" s="43"/>
      <c r="I94" s="68"/>
      <c r="J94" s="85"/>
      <c r="K94" s="85"/>
      <c r="L94" s="76"/>
      <c r="N94" s="68"/>
      <c r="O94" s="77" t="s">
        <v>89</v>
      </c>
      <c r="P94" s="86">
        <f t="shared" si="13"/>
        <v>14.6</v>
      </c>
      <c r="Q94" s="71" t="s">
        <v>87</v>
      </c>
      <c r="R94" s="71"/>
      <c r="S94" s="68"/>
      <c r="T94" s="68"/>
      <c r="U94" s="72"/>
    </row>
    <row r="95" ht="15.75" customHeight="1">
      <c r="A95" s="74"/>
      <c r="B95" s="43"/>
      <c r="C95" s="78" t="s">
        <v>226</v>
      </c>
      <c r="D95" s="79">
        <f>D9</f>
        <v>3</v>
      </c>
      <c r="E95" s="80" t="s">
        <v>91</v>
      </c>
      <c r="F95" s="80"/>
      <c r="G95" s="80"/>
      <c r="H95" s="80"/>
      <c r="I95" s="43"/>
      <c r="J95" s="85"/>
      <c r="K95" s="85"/>
      <c r="L95" s="76"/>
      <c r="N95" s="68"/>
      <c r="O95" s="77" t="s">
        <v>92</v>
      </c>
      <c r="P95" s="86">
        <f t="shared" si="13"/>
        <v>3.7</v>
      </c>
      <c r="Q95" s="71" t="s">
        <v>87</v>
      </c>
      <c r="R95" s="71"/>
      <c r="S95" s="68"/>
      <c r="T95" s="68"/>
      <c r="U95" s="72"/>
    </row>
    <row r="96" ht="15.75" customHeight="1">
      <c r="A96" s="67"/>
      <c r="B96" s="68"/>
      <c r="C96" s="77" t="s">
        <v>93</v>
      </c>
      <c r="D96" s="79">
        <f>lookup($D$94,Reference!$B$37:$B$42,Reference!$D$37:$D$42)</f>
        <v>2</v>
      </c>
      <c r="E96" s="68" t="str">
        <f>lookup($D$94,Reference!$B$37:$B$42,Reference!$E$37:$E$42)</f>
        <v>Niveau intermédiaire</v>
      </c>
      <c r="F96" s="68"/>
      <c r="G96" s="68"/>
      <c r="H96" s="68"/>
      <c r="I96" s="68"/>
      <c r="J96" s="85"/>
      <c r="K96" s="85"/>
      <c r="L96" s="82"/>
      <c r="N96" s="68"/>
      <c r="O96" s="68"/>
      <c r="P96" s="68"/>
      <c r="Q96" s="43"/>
      <c r="R96" s="43"/>
      <c r="S96" s="43"/>
      <c r="T96" s="43"/>
    </row>
    <row r="97" ht="15.75" customHeight="1">
      <c r="A97" s="254"/>
      <c r="B97" s="254"/>
      <c r="C97" s="63" t="s">
        <v>94</v>
      </c>
      <c r="D97" s="83">
        <v>2.9</v>
      </c>
      <c r="E97" s="68"/>
      <c r="J97" s="85"/>
      <c r="K97" s="85"/>
      <c r="L97" s="84"/>
      <c r="N97" s="68"/>
      <c r="O97" s="68"/>
      <c r="P97" s="68"/>
      <c r="Q97" s="43"/>
      <c r="R97" s="43"/>
      <c r="S97" s="43"/>
      <c r="T97" s="43"/>
    </row>
    <row r="98" ht="15.75" customHeight="1">
      <c r="A98" s="43"/>
      <c r="B98" s="74"/>
      <c r="C98" s="70" t="s">
        <v>95</v>
      </c>
      <c r="D98" s="75" t="str">
        <f t="shared" ref="D98:D104" si="14">D12</f>
        <v>Lourde</v>
      </c>
      <c r="E98" s="43"/>
      <c r="F98" s="33"/>
      <c r="G98" s="33"/>
      <c r="H98" s="33"/>
      <c r="I98" s="33"/>
      <c r="J98" s="85"/>
      <c r="K98" s="85"/>
      <c r="L98" s="84"/>
      <c r="N98" s="68"/>
      <c r="O98" s="68"/>
      <c r="P98" s="68"/>
      <c r="Q98" s="43"/>
      <c r="R98" s="43"/>
      <c r="S98" s="43"/>
      <c r="T98" s="43"/>
    </row>
    <row r="99" ht="15.75" customHeight="1">
      <c r="A99" s="43"/>
      <c r="B99" s="43"/>
      <c r="C99" s="78" t="s">
        <v>97</v>
      </c>
      <c r="D99" s="86" t="str">
        <f t="shared" si="14"/>
        <v>B</v>
      </c>
      <c r="E99" s="80"/>
      <c r="F99" s="32"/>
      <c r="G99" s="87"/>
      <c r="H99" s="87"/>
      <c r="I99" s="33"/>
      <c r="J99" s="85"/>
      <c r="K99" s="85"/>
      <c r="L99" s="84"/>
      <c r="N99" s="68"/>
      <c r="O99" s="88" t="s">
        <v>99</v>
      </c>
      <c r="P99" s="48"/>
      <c r="Q99" s="43"/>
      <c r="R99" s="80" t="s">
        <v>227</v>
      </c>
      <c r="S99" s="43"/>
      <c r="T99" s="43"/>
      <c r="U99" s="72"/>
    </row>
    <row r="100" ht="15.75" customHeight="1">
      <c r="A100" s="43"/>
      <c r="B100" s="43"/>
      <c r="C100" s="70" t="s">
        <v>101</v>
      </c>
      <c r="D100" s="89">
        <f t="shared" si="14"/>
        <v>1.1</v>
      </c>
      <c r="E100" s="80"/>
      <c r="F100" s="32"/>
      <c r="G100" s="33"/>
      <c r="H100" s="33"/>
      <c r="I100" s="33"/>
      <c r="J100" s="85"/>
      <c r="K100" s="85"/>
      <c r="L100" s="84"/>
      <c r="N100" s="68"/>
      <c r="O100" s="70" t="s">
        <v>102</v>
      </c>
      <c r="P100" s="198">
        <f>P94/P95</f>
        <v>3.945945946</v>
      </c>
      <c r="Q100" s="43"/>
      <c r="R100" s="43"/>
      <c r="S100" s="92"/>
      <c r="T100" s="43"/>
      <c r="U100" s="72"/>
    </row>
    <row r="101" ht="15.75" customHeight="1">
      <c r="A101" s="68"/>
      <c r="B101" s="43"/>
      <c r="C101" s="70" t="s">
        <v>103</v>
      </c>
      <c r="D101" s="86" t="str">
        <f t="shared" si="14"/>
        <v>D</v>
      </c>
      <c r="E101" s="80"/>
      <c r="F101" s="32"/>
      <c r="G101" s="33"/>
      <c r="H101" s="33"/>
      <c r="I101" s="33"/>
      <c r="J101" s="93"/>
      <c r="N101" s="68"/>
      <c r="O101" s="70" t="s">
        <v>105</v>
      </c>
      <c r="P101" s="255"/>
      <c r="Q101" s="80" t="s">
        <v>228</v>
      </c>
      <c r="R101" s="92">
        <f>P7</f>
        <v>54.02</v>
      </c>
      <c r="S101" s="92"/>
      <c r="T101" s="94">
        <f>P9</f>
        <v>3.7</v>
      </c>
      <c r="U101" s="72"/>
    </row>
    <row r="102" ht="15.75" customHeight="1">
      <c r="A102" s="68"/>
      <c r="B102" s="68"/>
      <c r="C102" s="71" t="s">
        <v>107</v>
      </c>
      <c r="D102" s="95">
        <f t="shared" si="14"/>
        <v>1.59</v>
      </c>
      <c r="E102" s="68"/>
      <c r="N102" s="68"/>
      <c r="O102" s="43"/>
      <c r="P102" s="45"/>
      <c r="Q102" s="43"/>
      <c r="R102" s="256" t="s">
        <v>229</v>
      </c>
      <c r="T102" s="43"/>
      <c r="U102" s="72"/>
    </row>
    <row r="103" ht="15.75" customHeight="1">
      <c r="A103" s="43"/>
      <c r="B103" s="68"/>
      <c r="C103" s="71" t="s">
        <v>109</v>
      </c>
      <c r="D103" s="95">
        <f t="shared" si="14"/>
        <v>1.2</v>
      </c>
      <c r="E103" s="68"/>
      <c r="N103" s="68"/>
      <c r="O103" s="43"/>
      <c r="P103" s="43"/>
      <c r="Q103" s="43"/>
      <c r="R103" s="92">
        <f>P8</f>
        <v>14.6</v>
      </c>
      <c r="S103" s="92"/>
      <c r="T103" s="43"/>
      <c r="U103" s="72"/>
    </row>
    <row r="104" ht="15.75" customHeight="1">
      <c r="A104" s="68"/>
      <c r="B104" s="68"/>
      <c r="C104" s="71" t="s">
        <v>110</v>
      </c>
      <c r="D104" s="257">
        <f t="shared" si="14"/>
        <v>1.3992</v>
      </c>
      <c r="E104" s="68"/>
      <c r="N104" s="72"/>
      <c r="O104" s="72"/>
      <c r="P104" s="72"/>
      <c r="Q104" s="72"/>
      <c r="R104" s="72"/>
      <c r="S104" s="72"/>
      <c r="T104" s="72"/>
      <c r="U104" s="72"/>
    </row>
    <row r="105" ht="15.75" customHeight="1"/>
    <row r="106" ht="15.75" customHeight="1"/>
    <row r="107" ht="15.75" customHeight="1">
      <c r="A107" s="99"/>
      <c r="B107" s="100" t="s">
        <v>112</v>
      </c>
      <c r="C107" s="101" t="s">
        <v>113</v>
      </c>
      <c r="D107" s="101" t="s">
        <v>114</v>
      </c>
      <c r="E107" s="101"/>
      <c r="F107" s="102"/>
      <c r="G107" s="103"/>
      <c r="H107" s="102" t="s">
        <v>115</v>
      </c>
      <c r="I107" s="102"/>
      <c r="J107" s="101"/>
      <c r="K107" s="101" t="s">
        <v>116</v>
      </c>
      <c r="L107" s="101" t="s">
        <v>117</v>
      </c>
      <c r="M107" s="104" t="s">
        <v>118</v>
      </c>
      <c r="N107" s="101"/>
      <c r="O107" s="105"/>
      <c r="P107" s="105"/>
      <c r="Q107" s="101"/>
      <c r="R107" s="106"/>
      <c r="S107" s="107"/>
      <c r="T107" s="107"/>
      <c r="U107" s="108"/>
    </row>
    <row r="108" ht="15.75" customHeight="1">
      <c r="A108" s="99"/>
      <c r="B108" s="109"/>
      <c r="C108" s="110"/>
      <c r="D108" s="111" t="s">
        <v>119</v>
      </c>
      <c r="E108" s="111" t="s">
        <v>120</v>
      </c>
      <c r="F108" s="111" t="s">
        <v>121</v>
      </c>
      <c r="G108" s="112" t="s">
        <v>122</v>
      </c>
      <c r="H108" s="111" t="s">
        <v>123</v>
      </c>
      <c r="I108" s="111" t="s">
        <v>124</v>
      </c>
      <c r="J108" s="111" t="s">
        <v>125</v>
      </c>
      <c r="K108" s="111" t="s">
        <v>126</v>
      </c>
      <c r="L108" s="111" t="s">
        <v>127</v>
      </c>
      <c r="M108" s="113" t="s">
        <v>128</v>
      </c>
      <c r="N108" s="111" t="s">
        <v>129</v>
      </c>
      <c r="O108" s="111" t="s">
        <v>123</v>
      </c>
      <c r="P108" s="110" t="s">
        <v>130</v>
      </c>
      <c r="Q108" s="111" t="s">
        <v>131</v>
      </c>
      <c r="R108" s="114" t="s">
        <v>132</v>
      </c>
      <c r="S108" s="115"/>
      <c r="T108" s="115"/>
      <c r="U108" s="116"/>
    </row>
    <row r="109" ht="15.75" customHeight="1">
      <c r="A109" s="99"/>
      <c r="B109" s="117"/>
      <c r="C109" s="118"/>
      <c r="D109" s="111" t="s">
        <v>133</v>
      </c>
      <c r="E109" s="111" t="s">
        <v>134</v>
      </c>
      <c r="F109" s="115" t="s">
        <v>135</v>
      </c>
      <c r="G109" s="116" t="s">
        <v>136</v>
      </c>
      <c r="H109" s="111" t="s">
        <v>137</v>
      </c>
      <c r="I109" s="111" t="s">
        <v>138</v>
      </c>
      <c r="J109" s="111" t="s">
        <v>139</v>
      </c>
      <c r="K109" s="111" t="s">
        <v>137</v>
      </c>
      <c r="L109" s="111" t="s">
        <v>140</v>
      </c>
      <c r="M109" s="113" t="s">
        <v>141</v>
      </c>
      <c r="N109" s="111" t="s">
        <v>142</v>
      </c>
      <c r="O109" s="111" t="s">
        <v>143</v>
      </c>
      <c r="P109" s="115" t="s">
        <v>144</v>
      </c>
      <c r="Q109" s="111" t="s">
        <v>145</v>
      </c>
      <c r="R109" s="115" t="s">
        <v>146</v>
      </c>
      <c r="S109" s="115" t="s">
        <v>147</v>
      </c>
      <c r="T109" s="115" t="s">
        <v>148</v>
      </c>
      <c r="U109" s="116" t="s">
        <v>149</v>
      </c>
    </row>
    <row r="110" ht="33.0" customHeight="1">
      <c r="A110" s="99"/>
      <c r="B110" s="119"/>
      <c r="C110" s="120"/>
      <c r="D110" s="121" t="s">
        <v>134</v>
      </c>
      <c r="E110" s="121"/>
      <c r="F110" s="120"/>
      <c r="G110" s="122"/>
      <c r="H110" s="123" t="s">
        <v>150</v>
      </c>
      <c r="I110" s="123" t="s">
        <v>151</v>
      </c>
      <c r="J110" s="120"/>
      <c r="K110" s="124" t="s">
        <v>152</v>
      </c>
      <c r="L110" s="125" t="s">
        <v>153</v>
      </c>
      <c r="M110" s="126" t="s">
        <v>154</v>
      </c>
      <c r="N110" s="125" t="s">
        <v>155</v>
      </c>
      <c r="O110" s="124" t="s">
        <v>156</v>
      </c>
      <c r="P110" s="121"/>
      <c r="Q110" s="125"/>
      <c r="R110" s="127"/>
      <c r="S110" s="127"/>
      <c r="T110" s="121" t="s">
        <v>157</v>
      </c>
      <c r="U110" s="128"/>
    </row>
    <row r="111" ht="15.75" customHeight="1">
      <c r="A111" s="129"/>
      <c r="B111" s="130">
        <v>1.0</v>
      </c>
      <c r="C111" s="131">
        <v>45658.0</v>
      </c>
      <c r="D111" s="132">
        <v>1.3</v>
      </c>
      <c r="E111" s="132">
        <v>0.2</v>
      </c>
      <c r="F111" s="133">
        <v>10.0</v>
      </c>
      <c r="G111" s="134">
        <v>0.414</v>
      </c>
      <c r="H111" s="135">
        <f t="shared" ref="H111:H112" si="15">D111*0.15</f>
        <v>0.195</v>
      </c>
      <c r="I111" s="135">
        <f t="shared" ref="I111:I112" si="16">G111*E111/$I$144/0.15</f>
        <v>1.260273973</v>
      </c>
      <c r="J111" s="135">
        <f t="shared" ref="J111:J112" si="17">sqrt(F111/6.9)</f>
        <v>1.203858531</v>
      </c>
      <c r="K111" s="136">
        <f t="shared" ref="K111:K112" si="18">I111*J111</f>
        <v>1.517191573</v>
      </c>
      <c r="L111" s="137">
        <f t="shared" ref="L111:L112" si="19">H111*K111</f>
        <v>0.2958523568</v>
      </c>
      <c r="M111" s="138"/>
      <c r="N111" s="139"/>
      <c r="O111" s="140"/>
      <c r="P111" s="141"/>
      <c r="Q111" s="142"/>
      <c r="R111" s="143"/>
      <c r="S111" s="143"/>
      <c r="T111" s="144"/>
      <c r="U111" s="145"/>
    </row>
    <row r="112" ht="15.75" customHeight="1">
      <c r="A112" s="129"/>
      <c r="B112" s="146">
        <v>1.0</v>
      </c>
      <c r="C112" s="131">
        <v>45659.0</v>
      </c>
      <c r="D112" s="132">
        <v>1.6</v>
      </c>
      <c r="E112" s="132">
        <v>0.2</v>
      </c>
      <c r="F112" s="133">
        <v>10.0</v>
      </c>
      <c r="G112" s="134">
        <v>0.414</v>
      </c>
      <c r="H112" s="135">
        <f t="shared" si="15"/>
        <v>0.24</v>
      </c>
      <c r="I112" s="135">
        <f t="shared" si="16"/>
        <v>1.260273973</v>
      </c>
      <c r="J112" s="135">
        <f t="shared" si="17"/>
        <v>1.203858531</v>
      </c>
      <c r="K112" s="136">
        <f t="shared" si="18"/>
        <v>1.517191573</v>
      </c>
      <c r="L112" s="137">
        <f t="shared" si="19"/>
        <v>0.3641259776</v>
      </c>
      <c r="M112" s="138"/>
      <c r="N112" s="139"/>
      <c r="O112" s="140"/>
      <c r="P112" s="141"/>
      <c r="Q112" s="142"/>
      <c r="R112" s="143"/>
      <c r="S112" s="143"/>
      <c r="T112" s="144"/>
      <c r="U112" s="145"/>
    </row>
    <row r="113" ht="15.75" customHeight="1">
      <c r="A113" s="129"/>
      <c r="B113" s="146">
        <v>1.0</v>
      </c>
      <c r="C113" s="147"/>
      <c r="D113" s="148"/>
      <c r="E113" s="148"/>
      <c r="F113" s="149"/>
      <c r="G113" s="150"/>
      <c r="H113" s="135"/>
      <c r="I113" s="135"/>
      <c r="J113" s="135"/>
      <c r="K113" s="136"/>
      <c r="L113" s="137"/>
      <c r="M113" s="151" t="s">
        <v>141</v>
      </c>
      <c r="N113" s="137">
        <f>SUM(L111:L112)</f>
        <v>0.6599783343</v>
      </c>
      <c r="O113" s="140">
        <f>O27</f>
        <v>7.03</v>
      </c>
      <c r="P113" s="141">
        <f>N113/O113</f>
        <v>0.09388027515</v>
      </c>
      <c r="Q113" s="142">
        <f>P113/$I$161</f>
        <v>1.955609532</v>
      </c>
      <c r="R113" s="143">
        <f>IF(D$98="Légère",IF($M113="Exterieur",VLOOKUP(D$94,Reference!$B$37:$Y$42,13,0),VLOOKUP(D$94,Reference!$B$37:$Y$42,15,0)),IF(P$100&gt;3,IF($M27="Exterieur",VLOOKUP(D$94,Reference!$B$37:$Y$42,21,0),VLOOKUP(D$94,Reference!$B$37:$Y$42,23,0)),IF($M27="Exterieur",VLOOKUP(D$94,Reference!$B$37:$Y$42,17,0),VLOOKUP(D$94,Reference!$B$37:$Y$42,19,0))))</f>
        <v>1.5</v>
      </c>
      <c r="S113" s="143">
        <f>IF(D$98="Légère",IF($M113="Exterieur",VLOOKUP(D$94,Reference!$B$37:$Y$42,14,0),VLOOKUP(D$94,Reference!$B$37:$Y$42,16,0)),IF(P$100&gt;3,IF($M27="Exterieur",VLOOKUP(D$94,Reference!$B$37:$Y$42,22,0),VLOOKUP(D$94,Reference!$B$37:$Y$42,24,0)),IF($M113="Exterieur",VLOOKUP(D$94,Reference!$B$37:$Y$42,18,0),VLOOKUP(D$94,Reference!$B$37:$Y$42,20,0))))</f>
        <v>3</v>
      </c>
      <c r="T113" s="144">
        <f>R113/Q113</f>
        <v>0.7670242836</v>
      </c>
      <c r="U113" s="145" t="str">
        <f>if(and(Q113&gt;=R113,Q113&lt;=S113),"OK","NG")</f>
        <v>OK</v>
      </c>
    </row>
    <row r="114" ht="15.75" customHeight="1">
      <c r="A114" s="129"/>
      <c r="B114" s="130">
        <v>2.0</v>
      </c>
      <c r="C114" s="131">
        <v>45689.0</v>
      </c>
      <c r="D114" s="132">
        <v>1.9</v>
      </c>
      <c r="E114" s="132">
        <v>0.2</v>
      </c>
      <c r="F114" s="133">
        <v>10.0</v>
      </c>
      <c r="G114" s="134">
        <v>0.414</v>
      </c>
      <c r="H114" s="135">
        <f>D114*0.15</f>
        <v>0.285</v>
      </c>
      <c r="I114" s="135">
        <f>G114*E114/$I$144/0.15</f>
        <v>1.260273973</v>
      </c>
      <c r="J114" s="135">
        <f>sqrt(F114/6.9)</f>
        <v>1.203858531</v>
      </c>
      <c r="K114" s="136">
        <f>I114*J114</f>
        <v>1.517191573</v>
      </c>
      <c r="L114" s="137">
        <f>H114*K114</f>
        <v>0.4323995983</v>
      </c>
      <c r="M114" s="138"/>
      <c r="N114" s="139"/>
      <c r="O114" s="140"/>
      <c r="P114" s="153"/>
      <c r="Q114" s="142"/>
      <c r="R114" s="143"/>
      <c r="S114" s="143"/>
      <c r="T114" s="144"/>
      <c r="U114" s="145"/>
    </row>
    <row r="115" ht="15.75" customHeight="1">
      <c r="A115" s="129"/>
      <c r="B115" s="146">
        <v>2.0</v>
      </c>
      <c r="C115" s="147"/>
      <c r="D115" s="148"/>
      <c r="E115" s="148"/>
      <c r="F115" s="149"/>
      <c r="G115" s="150"/>
      <c r="H115" s="135"/>
      <c r="I115" s="135"/>
      <c r="J115" s="135"/>
      <c r="K115" s="136"/>
      <c r="L115" s="137"/>
      <c r="M115" s="151" t="s">
        <v>158</v>
      </c>
      <c r="N115" s="137">
        <f>L114</f>
        <v>0.4323995983</v>
      </c>
      <c r="O115" s="140">
        <f>O29</f>
        <v>13.32</v>
      </c>
      <c r="P115" s="141">
        <f>N115/O115</f>
        <v>0.03246243231</v>
      </c>
      <c r="Q115" s="142">
        <f>P115/$I$161</f>
        <v>0.6762213036</v>
      </c>
      <c r="R115" s="143">
        <f>IF(D$98="Légère",IF($M115="Exterieur",VLOOKUP(D$94,Reference!$B$37:$Y$42,13,0),VLOOKUP(D$94,Reference!$B$37:$Y$42,15,0)),IF(P$100&gt;3,IF($M29="Exterieur",VLOOKUP(D$94,Reference!$B$37:$Y$42,21,0),VLOOKUP(D$94,Reference!$B$37:$Y$42,23,0)),IF($M29="Exterieur",VLOOKUP(D$94,Reference!$B$37:$Y$42,17,0),VLOOKUP(D$94,Reference!$B$37:$Y$42,19,0))))</f>
        <v>0.67</v>
      </c>
      <c r="S115" s="143">
        <f>IF(D$98="Légère",IF($M115="Exterieur",VLOOKUP(D$94,Reference!$B$37:$Y$42,14,0),VLOOKUP(D$94,Reference!$B$37:$Y$42,16,0)),IF(P$100&gt;3,IF($M29="Exterieur",VLOOKUP(D$94,Reference!$B$37:$Y$42,22,0),VLOOKUP(D$94,Reference!$B$37:$Y$42,24,0)),IF($M115="Exterieur",VLOOKUP(D$94,Reference!$B$37:$Y$42,18,0),VLOOKUP(D$94,Reference!$B$37:$Y$42,20,0))))</f>
        <v>2</v>
      </c>
      <c r="T115" s="144">
        <f>R115/Q115</f>
        <v>0.9907999</v>
      </c>
      <c r="U115" s="145" t="str">
        <f>if(and(Q115&gt;=R115,Q115&lt;=S115),"OK","NG")</f>
        <v>OK</v>
      </c>
    </row>
    <row r="116" ht="15.75" customHeight="1">
      <c r="A116" s="129"/>
      <c r="B116" s="130">
        <v>3.0</v>
      </c>
      <c r="C116" s="131">
        <v>45717.0</v>
      </c>
      <c r="D116" s="132">
        <v>1.9</v>
      </c>
      <c r="E116" s="132">
        <v>0.2</v>
      </c>
      <c r="F116" s="133">
        <v>10.0</v>
      </c>
      <c r="G116" s="134">
        <v>0.414</v>
      </c>
      <c r="H116" s="135">
        <f>D116*0.15</f>
        <v>0.285</v>
      </c>
      <c r="I116" s="135">
        <f>G116*E116/$I$144/0.15</f>
        <v>1.260273973</v>
      </c>
      <c r="J116" s="135">
        <f>sqrt(F116/6.9)</f>
        <v>1.203858531</v>
      </c>
      <c r="K116" s="136">
        <f>I116*J116</f>
        <v>1.517191573</v>
      </c>
      <c r="L116" s="137">
        <f>H116*K116</f>
        <v>0.4323995983</v>
      </c>
      <c r="M116" s="138"/>
      <c r="N116" s="139"/>
      <c r="O116" s="140"/>
      <c r="P116" s="153"/>
      <c r="Q116" s="142"/>
      <c r="R116" s="143"/>
      <c r="S116" s="143"/>
      <c r="T116" s="144"/>
      <c r="U116" s="145"/>
    </row>
    <row r="117" ht="15.75" customHeight="1">
      <c r="A117" s="129"/>
      <c r="B117" s="146">
        <v>3.0</v>
      </c>
      <c r="C117" s="147"/>
      <c r="D117" s="148"/>
      <c r="E117" s="148"/>
      <c r="F117" s="149"/>
      <c r="G117" s="150"/>
      <c r="H117" s="135"/>
      <c r="I117" s="135"/>
      <c r="J117" s="135"/>
      <c r="K117" s="136"/>
      <c r="L117" s="137"/>
      <c r="M117" s="151" t="s">
        <v>158</v>
      </c>
      <c r="N117" s="137">
        <f>SUM(L116)</f>
        <v>0.4323995983</v>
      </c>
      <c r="O117" s="140">
        <f>O31</f>
        <v>13.32</v>
      </c>
      <c r="P117" s="141">
        <f>N117/O117</f>
        <v>0.03246243231</v>
      </c>
      <c r="Q117" s="142">
        <f>P117/$I$161</f>
        <v>0.6762213036</v>
      </c>
      <c r="R117" s="143">
        <f>IF(D$98="Légère",IF($M117="Exterieur",VLOOKUP(D$94,Reference!$B$37:$Y$42,13,0),VLOOKUP(D$94,Reference!$B$37:$Y$42,15,0)),IF(P$100&gt;3,IF($M31="Exterieur",VLOOKUP(D$94,Reference!$B$37:$Y$42,21,0),VLOOKUP(D$94,Reference!$B$37:$Y$42,23,0)),IF($M31="Exterieur",VLOOKUP(D$94,Reference!$B$37:$Y$42,17,0),VLOOKUP(D$94,Reference!$B$37:$Y$42,19,0))))</f>
        <v>0.67</v>
      </c>
      <c r="S117" s="143">
        <f>IF(D$98="Légère",IF($M117="Exterieur",VLOOKUP(D$94,Reference!$B$37:$Y$42,14,0),VLOOKUP(D$94,Reference!$B$37:$Y$42,16,0)),IF(P$100&gt;3,IF($M31="Exterieur",VLOOKUP(D$94,Reference!$B$37:$Y$42,22,0),VLOOKUP(D$94,Reference!$B$37:$Y$42,24,0)),IF($M117="Exterieur",VLOOKUP(D$94,Reference!$B$37:$Y$42,18,0),VLOOKUP(D$94,Reference!$B$37:$Y$42,20,0))))</f>
        <v>2</v>
      </c>
      <c r="T117" s="144">
        <f>R117/Q117</f>
        <v>0.9907999</v>
      </c>
      <c r="U117" s="145" t="str">
        <f>if(and(Q117&gt;=R117,Q117&lt;=S117),"OK","NG")</f>
        <v>OK</v>
      </c>
    </row>
    <row r="118" ht="15.75" customHeight="1">
      <c r="A118" s="129"/>
      <c r="B118" s="130">
        <v>4.0</v>
      </c>
      <c r="C118" s="131">
        <v>45748.0</v>
      </c>
      <c r="D118" s="132">
        <v>1.9</v>
      </c>
      <c r="E118" s="132">
        <v>0.2</v>
      </c>
      <c r="F118" s="133">
        <v>10.0</v>
      </c>
      <c r="G118" s="134">
        <v>0.414</v>
      </c>
      <c r="H118" s="135">
        <f>D118*0.15</f>
        <v>0.285</v>
      </c>
      <c r="I118" s="135">
        <f>G118*E118/$I$144/0.15</f>
        <v>1.260273973</v>
      </c>
      <c r="J118" s="135">
        <f>sqrt(F118/6.9)</f>
        <v>1.203858531</v>
      </c>
      <c r="K118" s="136">
        <f>I118*J118</f>
        <v>1.517191573</v>
      </c>
      <c r="L118" s="137">
        <f>H118*K118</f>
        <v>0.4323995983</v>
      </c>
      <c r="M118" s="138"/>
      <c r="N118" s="139"/>
      <c r="O118" s="140"/>
      <c r="P118" s="153"/>
      <c r="Q118" s="142"/>
      <c r="R118" s="143"/>
      <c r="S118" s="143"/>
      <c r="T118" s="144"/>
      <c r="U118" s="145"/>
    </row>
    <row r="119" ht="15.75" customHeight="1">
      <c r="A119" s="129"/>
      <c r="B119" s="146">
        <v>4.0</v>
      </c>
      <c r="C119" s="147"/>
      <c r="D119" s="148"/>
      <c r="E119" s="148"/>
      <c r="F119" s="149"/>
      <c r="G119" s="150"/>
      <c r="H119" s="135"/>
      <c r="I119" s="135"/>
      <c r="J119" s="135"/>
      <c r="K119" s="136"/>
      <c r="L119" s="137"/>
      <c r="M119" s="151" t="s">
        <v>158</v>
      </c>
      <c r="N119" s="137">
        <f>SUM(L118)</f>
        <v>0.4323995983</v>
      </c>
      <c r="O119" s="140">
        <f>O33</f>
        <v>13.32</v>
      </c>
      <c r="P119" s="141">
        <f>N119/O119</f>
        <v>0.03246243231</v>
      </c>
      <c r="Q119" s="142">
        <f>P119/$I$161</f>
        <v>0.6762213036</v>
      </c>
      <c r="R119" s="143">
        <f>IF(D$98="Légère",IF($M119="Exterieur",VLOOKUP(D$94,Reference!$B$37:$Y$42,13,0),VLOOKUP(D$94,Reference!$B$37:$Y$42,15,0)),IF(P$100&gt;3,IF($M33="Exterieur",VLOOKUP(D$94,Reference!$B$37:$Y$42,21,0),VLOOKUP(D$94,Reference!$B$37:$Y$42,23,0)),IF($M33="Exterieur",VLOOKUP(D$94,Reference!$B$37:$Y$42,17,0),VLOOKUP(D$94,Reference!$B$37:$Y$42,19,0))))</f>
        <v>0.67</v>
      </c>
      <c r="S119" s="143">
        <f>IF(D$98="Légère",IF($M119="Exterieur",VLOOKUP(D$94,Reference!$B$37:$Y$42,14,0),VLOOKUP(D$94,Reference!$B$37:$Y$42,16,0)),IF(P$100&gt;3,IF($M33="Exterieur",VLOOKUP(D$94,Reference!$B$37:$Y$42,22,0),VLOOKUP(D$94,Reference!$B$37:$Y$42,24,0)),IF($M119="Exterieur",VLOOKUP(D$94,Reference!$B$37:$Y$42,18,0),VLOOKUP(D$94,Reference!$B$37:$Y$42,20,0))))</f>
        <v>2</v>
      </c>
      <c r="T119" s="144">
        <f>R119/Q119</f>
        <v>0.9907999</v>
      </c>
      <c r="U119" s="145" t="str">
        <f>if(and(Q119&gt;=R119,Q119&lt;=S119),"OK","NG")</f>
        <v>OK</v>
      </c>
    </row>
    <row r="120" ht="15.75" customHeight="1">
      <c r="A120" s="129"/>
      <c r="B120" s="130">
        <v>5.0</v>
      </c>
      <c r="C120" s="131">
        <v>45778.0</v>
      </c>
      <c r="D120" s="132">
        <v>3.7</v>
      </c>
      <c r="E120" s="132">
        <v>0.2</v>
      </c>
      <c r="F120" s="133">
        <v>10.0</v>
      </c>
      <c r="G120" s="134">
        <v>0.414</v>
      </c>
      <c r="H120" s="135">
        <f t="shared" ref="H120:H121" si="20">D120*0.15</f>
        <v>0.555</v>
      </c>
      <c r="I120" s="135">
        <f t="shared" ref="I120:I121" si="21">G120*E120/$I$144/0.15</f>
        <v>1.260273973</v>
      </c>
      <c r="J120" s="135">
        <f t="shared" ref="J120:J121" si="22">sqrt(F120/6.9)</f>
        <v>1.203858531</v>
      </c>
      <c r="K120" s="136">
        <f t="shared" ref="K120:K121" si="23">I120*J120</f>
        <v>1.517191573</v>
      </c>
      <c r="L120" s="137">
        <f t="shared" ref="L120:L121" si="24">H120*K120</f>
        <v>0.8420413231</v>
      </c>
      <c r="M120" s="138"/>
      <c r="N120" s="139"/>
      <c r="O120" s="140"/>
      <c r="P120" s="153"/>
      <c r="Q120" s="142"/>
      <c r="R120" s="143"/>
      <c r="S120" s="143"/>
      <c r="T120" s="144"/>
      <c r="U120" s="145"/>
    </row>
    <row r="121" ht="15.75" customHeight="1">
      <c r="A121" s="129"/>
      <c r="B121" s="130">
        <v>5.0</v>
      </c>
      <c r="C121" s="131">
        <v>45779.0</v>
      </c>
      <c r="D121" s="132">
        <v>0.0</v>
      </c>
      <c r="E121" s="132">
        <v>0.2</v>
      </c>
      <c r="F121" s="133">
        <v>10.0</v>
      </c>
      <c r="G121" s="134">
        <v>0.414</v>
      </c>
      <c r="H121" s="135">
        <f t="shared" si="20"/>
        <v>0</v>
      </c>
      <c r="I121" s="135">
        <f t="shared" si="21"/>
        <v>1.260273973</v>
      </c>
      <c r="J121" s="135">
        <f t="shared" si="22"/>
        <v>1.203858531</v>
      </c>
      <c r="K121" s="136">
        <f t="shared" si="23"/>
        <v>1.517191573</v>
      </c>
      <c r="L121" s="137">
        <f t="shared" si="24"/>
        <v>0</v>
      </c>
      <c r="M121" s="138"/>
      <c r="N121" s="139"/>
      <c r="O121" s="140"/>
      <c r="P121" s="153"/>
      <c r="Q121" s="142"/>
      <c r="R121" s="143"/>
      <c r="S121" s="143"/>
      <c r="T121" s="144"/>
      <c r="U121" s="145"/>
    </row>
    <row r="122" ht="15.75" customHeight="1">
      <c r="A122" s="129"/>
      <c r="B122" s="146">
        <v>5.0</v>
      </c>
      <c r="C122" s="147"/>
      <c r="D122" s="148"/>
      <c r="E122" s="148"/>
      <c r="F122" s="154"/>
      <c r="G122" s="150"/>
      <c r="H122" s="135"/>
      <c r="I122" s="135"/>
      <c r="J122" s="155"/>
      <c r="K122" s="136"/>
      <c r="L122" s="137"/>
      <c r="M122" s="151" t="s">
        <v>141</v>
      </c>
      <c r="N122" s="137">
        <f>SUM(L120:L121)</f>
        <v>0.8420413231</v>
      </c>
      <c r="O122" s="140">
        <f>O36</f>
        <v>7.03</v>
      </c>
      <c r="P122" s="141">
        <f>N122/O122</f>
        <v>0.1197782821</v>
      </c>
      <c r="Q122" s="142">
        <f>P122/$I$161</f>
        <v>2.495088023</v>
      </c>
      <c r="R122" s="143">
        <f>IF(D$98="Légère",IF($M122="Exterieur",VLOOKUP(D$94,Reference!$B$37:$Y$42,13,0),VLOOKUP(D$94,Reference!$B$37:$Y$42,15,0)),IF(P$100&gt;3,IF($M36="Exterieur",VLOOKUP(D$94,Reference!$B$37:$Y$42,21,0),VLOOKUP(D$94,Reference!$B$37:$Y$42,23,0)),IF($M36="Exterieur",VLOOKUP(D$94,Reference!$B$37:$Y$42,17,0),VLOOKUP(D$94,Reference!$B$37:$Y$42,19,0))))</f>
        <v>1.5</v>
      </c>
      <c r="S122" s="143">
        <f>IF(D$98="Légère",IF($M122="Exterieur",VLOOKUP(D$94,Reference!$B$37:$Y$42,14,0),VLOOKUP(D$94,Reference!$B$37:$Y$42,16,0)),IF(P$100&gt;3,IF($M36="Exterieur",VLOOKUP(D$94,Reference!$B$37:$Y$42,22,0),VLOOKUP(D$94,Reference!$B$37:$Y$42,24,0)),IF($M122="Exterieur",VLOOKUP(D$94,Reference!$B$37:$Y$42,18,0),VLOOKUP(D$94,Reference!$B$37:$Y$42,20,0))))</f>
        <v>3</v>
      </c>
      <c r="T122" s="144">
        <f>R122/Q122</f>
        <v>0.6011811952</v>
      </c>
      <c r="U122" s="145" t="str">
        <f>if(and(Q122&gt;=R122,Q122&lt;=S122),"OK","NG")</f>
        <v>OK</v>
      </c>
    </row>
    <row r="123" ht="15.75" customHeight="1">
      <c r="A123" s="129"/>
      <c r="B123" s="258"/>
      <c r="C123" s="259"/>
      <c r="D123" s="260"/>
      <c r="E123" s="260"/>
      <c r="F123" s="261"/>
      <c r="G123" s="262"/>
      <c r="H123" s="161"/>
      <c r="I123" s="161"/>
      <c r="J123" s="162"/>
      <c r="K123" s="164"/>
      <c r="L123" s="164"/>
      <c r="M123" s="165"/>
      <c r="N123" s="166"/>
      <c r="O123" s="167"/>
      <c r="P123" s="168"/>
      <c r="Q123" s="169"/>
      <c r="R123" s="170"/>
      <c r="S123" s="170"/>
      <c r="T123" s="171"/>
      <c r="U123" s="128"/>
    </row>
    <row r="124" ht="15.75" customHeight="1">
      <c r="B124" s="172" t="s">
        <v>159</v>
      </c>
      <c r="C124" s="173"/>
      <c r="D124" s="173"/>
      <c r="E124" s="173"/>
      <c r="F124" s="173"/>
      <c r="G124" s="173"/>
      <c r="H124" s="263"/>
      <c r="I124" s="175"/>
      <c r="J124" s="175"/>
      <c r="K124" s="176" t="s">
        <v>160</v>
      </c>
      <c r="L124" s="177">
        <f>SUM(L111:L123)</f>
        <v>2.799218452</v>
      </c>
      <c r="M124" s="178" t="s">
        <v>161</v>
      </c>
      <c r="N124" s="177">
        <f t="shared" ref="N124:O124" si="25">SUM(N111:N123)</f>
        <v>2.799218452</v>
      </c>
      <c r="O124" s="179">
        <f t="shared" si="25"/>
        <v>54.02</v>
      </c>
      <c r="P124" s="180">
        <f>N124/O124</f>
        <v>0.05181818683</v>
      </c>
      <c r="Q124" s="169">
        <f>P124/$I$75</f>
        <v>0.9061230729</v>
      </c>
      <c r="R124" s="181">
        <v>1.0</v>
      </c>
      <c r="S124" s="182" t="s">
        <v>230</v>
      </c>
      <c r="T124" s="183">
        <f>max(T111:T123)</f>
        <v>0.9907999</v>
      </c>
      <c r="U124" s="128" t="str">
        <f>if(COUNTIF(U111:U123, "NG")&gt;0,"NG",if($P$124&gt;=$I$161,"OK","NG"))</f>
        <v>OK</v>
      </c>
    </row>
    <row r="125" ht="15.75" customHeight="1">
      <c r="B125" s="184"/>
      <c r="C125" s="184"/>
      <c r="D125" s="184"/>
      <c r="E125" s="184"/>
      <c r="F125" s="184"/>
      <c r="G125" s="185"/>
      <c r="H125" s="185"/>
      <c r="I125" s="186"/>
      <c r="J125" s="186"/>
      <c r="K125" s="70" t="s">
        <v>163</v>
      </c>
      <c r="L125" s="188">
        <f>IF(ISERROR(L124/$R$101),"",L124/$R$101)</f>
        <v>0.05181818683</v>
      </c>
      <c r="M125" s="189" t="s">
        <v>164</v>
      </c>
      <c r="N125" s="186"/>
      <c r="O125" s="190">
        <f>R101</f>
        <v>54.02</v>
      </c>
      <c r="P125" s="191">
        <f>L125</f>
        <v>0.05181818683</v>
      </c>
      <c r="Q125" s="185" t="s">
        <v>165</v>
      </c>
      <c r="R125" s="68"/>
      <c r="S125" s="68"/>
      <c r="T125" s="68"/>
      <c r="U125" s="68"/>
    </row>
    <row r="126" ht="15.75" customHeight="1">
      <c r="B126" s="184"/>
      <c r="C126" s="184"/>
      <c r="D126" s="184"/>
      <c r="E126" s="184"/>
      <c r="F126" s="184"/>
      <c r="G126" s="185"/>
      <c r="H126" s="185"/>
      <c r="I126" s="186"/>
      <c r="J126" s="186"/>
      <c r="K126" s="77" t="s">
        <v>166</v>
      </c>
      <c r="L126" s="192">
        <f>I161</f>
        <v>0.04800563386</v>
      </c>
      <c r="M126" s="71" t="s">
        <v>167</v>
      </c>
      <c r="N126" s="68"/>
      <c r="O126" s="97">
        <f>I163</f>
        <v>0.9264244235</v>
      </c>
      <c r="P126" s="68"/>
      <c r="Q126" s="68"/>
      <c r="R126" s="68"/>
      <c r="S126" s="68"/>
      <c r="T126" s="68"/>
      <c r="U126" s="68"/>
    </row>
    <row r="127" ht="30.0" customHeight="1">
      <c r="B127" s="193"/>
      <c r="C127" s="193"/>
      <c r="D127" s="193"/>
      <c r="E127" s="193"/>
      <c r="F127" s="193"/>
      <c r="G127" s="194"/>
      <c r="H127" s="194"/>
      <c r="I127" s="195"/>
      <c r="J127" s="195"/>
      <c r="K127" s="195"/>
      <c r="L127" s="197"/>
      <c r="M127" s="90"/>
      <c r="N127" s="129"/>
      <c r="O127" s="26"/>
      <c r="Q127" s="198"/>
    </row>
    <row r="128" ht="33.75" customHeight="1">
      <c r="B128" s="193"/>
      <c r="C128" s="193"/>
      <c r="D128" s="193"/>
      <c r="E128" s="193"/>
      <c r="F128" s="193"/>
      <c r="G128" s="194"/>
      <c r="H128" s="194"/>
      <c r="I128" s="195"/>
      <c r="J128" s="195"/>
      <c r="K128" s="195"/>
      <c r="L128" s="197"/>
      <c r="M128" s="90"/>
      <c r="N128" s="129"/>
      <c r="O128" s="26"/>
      <c r="Q128" s="198"/>
    </row>
    <row r="129" ht="25.5" customHeight="1">
      <c r="A129" s="47"/>
      <c r="B129" s="43"/>
      <c r="C129" s="44"/>
      <c r="D129" s="43"/>
      <c r="E129" s="43"/>
      <c r="F129" s="43"/>
      <c r="G129" s="43"/>
      <c r="H129" s="43"/>
      <c r="I129" s="43"/>
      <c r="J129" s="43"/>
      <c r="K129" s="43"/>
      <c r="L129" s="43"/>
      <c r="M129" s="43"/>
      <c r="N129" s="43"/>
      <c r="O129" s="45"/>
      <c r="P129" s="43"/>
      <c r="Q129" s="47"/>
      <c r="R129" s="46"/>
      <c r="S129" s="47"/>
    </row>
    <row r="130" ht="15.75" customHeight="1">
      <c r="A130" s="47"/>
      <c r="B130" s="43"/>
      <c r="C130" s="44"/>
      <c r="D130" s="43"/>
      <c r="E130" s="43"/>
      <c r="F130" s="43"/>
      <c r="G130" s="43"/>
      <c r="H130" s="43"/>
      <c r="I130" s="43"/>
      <c r="J130" s="43"/>
      <c r="K130" s="43"/>
      <c r="L130" s="43"/>
      <c r="M130" s="43"/>
      <c r="N130" s="43"/>
      <c r="O130" s="45"/>
      <c r="P130" s="43"/>
      <c r="Q130" s="47"/>
      <c r="R130" s="46"/>
      <c r="S130" s="47"/>
    </row>
    <row r="131" ht="15.75" customHeight="1">
      <c r="A131" s="47"/>
      <c r="B131" s="49" t="s">
        <v>75</v>
      </c>
      <c r="C131" s="50"/>
      <c r="D131" s="51"/>
      <c r="E131" s="51"/>
      <c r="F131" s="51"/>
      <c r="G131" s="51"/>
      <c r="H131" s="51"/>
      <c r="I131" s="51"/>
      <c r="J131" s="51"/>
      <c r="K131" s="51"/>
      <c r="L131" s="51"/>
      <c r="M131" s="51"/>
      <c r="N131" s="52" t="s">
        <v>76</v>
      </c>
      <c r="O131" s="52"/>
      <c r="P131" s="51"/>
      <c r="Q131" s="51"/>
      <c r="R131" s="53"/>
      <c r="S131" s="54"/>
    </row>
    <row r="132" ht="15.75" customHeight="1">
      <c r="A132" s="47"/>
      <c r="B132" s="49" t="s">
        <v>77</v>
      </c>
      <c r="C132" s="55" t="s">
        <v>78</v>
      </c>
      <c r="D132" s="56"/>
      <c r="E132" s="51"/>
      <c r="F132" s="51"/>
      <c r="G132" s="51"/>
      <c r="H132" s="51"/>
      <c r="I132" s="51"/>
      <c r="J132" s="51"/>
      <c r="K132" s="51"/>
      <c r="L132" s="51"/>
      <c r="M132" s="51"/>
      <c r="N132" s="57" t="s">
        <v>79</v>
      </c>
      <c r="O132" s="57"/>
      <c r="P132" s="51"/>
      <c r="Q132" s="51"/>
      <c r="R132" s="53"/>
      <c r="S132" s="54"/>
    </row>
    <row r="133" ht="15.75" customHeight="1">
      <c r="A133" s="47"/>
      <c r="B133" s="51"/>
      <c r="C133" s="52"/>
      <c r="D133" s="56"/>
      <c r="E133" s="51"/>
      <c r="F133" s="51"/>
      <c r="G133" s="51"/>
      <c r="H133" s="51"/>
      <c r="I133" s="51"/>
      <c r="J133" s="51"/>
      <c r="K133" s="51"/>
      <c r="L133" s="51"/>
      <c r="M133" s="51"/>
      <c r="N133" s="57" t="s">
        <v>80</v>
      </c>
      <c r="O133" s="57"/>
      <c r="P133" s="51"/>
      <c r="Q133" s="51"/>
      <c r="R133" s="53"/>
      <c r="S133" s="54"/>
    </row>
    <row r="134" ht="15.75" customHeight="1">
      <c r="A134" s="33"/>
      <c r="B134" s="33"/>
      <c r="C134" s="46"/>
      <c r="D134" s="33"/>
      <c r="E134" s="33"/>
      <c r="F134" s="33"/>
      <c r="G134" s="33"/>
      <c r="H134" s="33"/>
      <c r="I134" s="33"/>
      <c r="J134" s="33"/>
      <c r="K134" s="33"/>
      <c r="L134" s="33"/>
      <c r="M134" s="33"/>
      <c r="N134" s="33"/>
      <c r="O134" s="33"/>
      <c r="P134" s="33"/>
      <c r="Q134" s="33"/>
      <c r="R134" s="46"/>
      <c r="S134" s="33"/>
    </row>
    <row r="135" ht="31.5" customHeight="1">
      <c r="K135" s="98" t="s">
        <v>225</v>
      </c>
      <c r="O135" s="199"/>
      <c r="P135" s="199"/>
      <c r="R135" s="199"/>
      <c r="S135" s="199"/>
    </row>
    <row r="136" ht="15.75" customHeight="1">
      <c r="O136" s="199"/>
      <c r="P136" s="199"/>
      <c r="R136" s="199"/>
      <c r="S136" s="199"/>
    </row>
    <row r="137" ht="19.5" customHeight="1">
      <c r="A137" s="200"/>
      <c r="B137" s="201" t="s">
        <v>168</v>
      </c>
      <c r="C137" s="201"/>
      <c r="D137" s="202"/>
      <c r="E137" s="202"/>
      <c r="F137" s="202"/>
      <c r="G137" s="203"/>
      <c r="H137" s="203"/>
      <c r="I137" s="204"/>
      <c r="J137" s="199"/>
      <c r="K137" s="199"/>
      <c r="L137" s="205"/>
      <c r="O137" s="199"/>
      <c r="P137" s="199"/>
      <c r="Q137" s="199"/>
      <c r="R137" s="199"/>
      <c r="T137" s="206"/>
      <c r="U137" s="206"/>
    </row>
    <row r="138" ht="15.75" customHeight="1">
      <c r="B138" s="33"/>
      <c r="C138" s="199"/>
      <c r="D138" s="199"/>
      <c r="E138" s="207"/>
      <c r="F138" s="207"/>
      <c r="G138" s="213"/>
      <c r="H138" s="213"/>
      <c r="I138" s="264"/>
      <c r="J138" s="207"/>
      <c r="K138" s="207"/>
      <c r="L138" s="207"/>
      <c r="M138" s="207"/>
      <c r="N138" s="207"/>
      <c r="O138" s="207"/>
      <c r="P138" s="207"/>
      <c r="Q138" s="199"/>
      <c r="R138" s="199"/>
      <c r="T138" s="206"/>
      <c r="U138" s="206"/>
    </row>
    <row r="139" ht="17.25" customHeight="1">
      <c r="B139" s="212" t="s">
        <v>169</v>
      </c>
      <c r="C139" s="199"/>
      <c r="D139" s="199"/>
      <c r="E139" s="207"/>
      <c r="F139" s="207"/>
      <c r="G139" s="208"/>
      <c r="H139" s="208" t="s">
        <v>170</v>
      </c>
      <c r="I139" s="209">
        <f>D104</f>
        <v>1.3992</v>
      </c>
      <c r="J139" s="210" t="s">
        <v>171</v>
      </c>
      <c r="K139" s="211"/>
      <c r="L139" s="211"/>
      <c r="M139" s="207"/>
      <c r="N139" s="207"/>
      <c r="O139" s="207"/>
      <c r="P139" s="207"/>
      <c r="Q139" s="199"/>
      <c r="R139" s="199"/>
      <c r="T139" s="206"/>
      <c r="U139" s="206"/>
    </row>
    <row r="140" ht="15.75" customHeight="1">
      <c r="B140" s="33"/>
      <c r="C140" s="199"/>
      <c r="D140" s="199"/>
      <c r="E140" s="207"/>
      <c r="F140" s="207"/>
      <c r="G140" s="213"/>
      <c r="H140" s="208" t="s">
        <v>172</v>
      </c>
      <c r="I140" s="209">
        <f>if($D$98="Lourde",lookup($D$94,Reference!$B$37:$B$42,Reference!$I$37:$I$42),lookup($D$94,Reference!$B$37:$B$42,Reference!$J$37:$J$42))</f>
        <v>0.94</v>
      </c>
      <c r="J140" s="210" t="s">
        <v>173</v>
      </c>
      <c r="K140" s="207"/>
      <c r="L140" s="207"/>
      <c r="M140" s="207"/>
      <c r="N140" s="207"/>
      <c r="O140" s="207"/>
      <c r="P140" s="207"/>
      <c r="Q140" s="199"/>
      <c r="R140" s="199"/>
      <c r="T140" s="206"/>
      <c r="U140" s="206"/>
      <c r="V140" s="206"/>
    </row>
    <row r="141" ht="15.75" customHeight="1">
      <c r="B141" s="33"/>
      <c r="C141" s="199"/>
      <c r="D141" s="199"/>
      <c r="E141" s="207"/>
      <c r="F141" s="207"/>
      <c r="G141" s="213"/>
      <c r="H141" s="208" t="s">
        <v>174</v>
      </c>
      <c r="I141" s="209">
        <f>if($D$98="Lourde",lookup($D$94,Reference!$B$37:$B$42,Reference!$G$37:$G$42),lookup($D$94,Reference!$B$37:$B$42,Reference!$H$37:$H$42))</f>
        <v>0.81</v>
      </c>
      <c r="J141" s="210" t="s">
        <v>175</v>
      </c>
      <c r="K141" s="207"/>
      <c r="L141" s="207"/>
      <c r="M141" s="207"/>
      <c r="N141" s="207"/>
      <c r="O141" s="207"/>
      <c r="P141" s="207"/>
      <c r="Q141" s="199"/>
      <c r="R141" s="199"/>
      <c r="T141" s="206"/>
      <c r="U141" s="206"/>
      <c r="V141" s="206"/>
    </row>
    <row r="142" ht="15.75" customHeight="1">
      <c r="B142" s="33"/>
      <c r="C142" s="199"/>
      <c r="D142" s="199"/>
      <c r="E142" s="207"/>
      <c r="F142" s="207"/>
      <c r="G142" s="208"/>
      <c r="H142" s="208" t="s">
        <v>176</v>
      </c>
      <c r="I142" s="228">
        <v>1.333</v>
      </c>
      <c r="J142" s="210" t="s">
        <v>177</v>
      </c>
      <c r="K142" s="207"/>
      <c r="L142" s="207"/>
      <c r="M142" s="207"/>
      <c r="N142" s="207"/>
      <c r="O142" s="207"/>
      <c r="P142" s="207"/>
      <c r="Q142" s="199"/>
      <c r="R142" s="199"/>
      <c r="T142" s="206"/>
      <c r="U142" s="206"/>
      <c r="V142" s="206"/>
    </row>
    <row r="143" ht="15.75" customHeight="1">
      <c r="B143" s="33"/>
      <c r="C143" s="199"/>
      <c r="D143" s="199"/>
      <c r="E143" s="207"/>
      <c r="F143" s="207"/>
      <c r="G143" s="208"/>
      <c r="H143" s="208" t="s">
        <v>178</v>
      </c>
      <c r="I143" s="228">
        <f>lookup($D$94,Reference!$B$37:$B$42,Reference!$F$37:$F$42)</f>
        <v>1.1</v>
      </c>
      <c r="J143" s="210" t="s">
        <v>179</v>
      </c>
      <c r="K143" s="207"/>
      <c r="L143" s="207"/>
      <c r="M143" s="207"/>
      <c r="N143" s="207"/>
      <c r="O143" s="207"/>
      <c r="P143" s="207"/>
      <c r="Q143" s="199"/>
      <c r="R143" s="199"/>
      <c r="T143" s="206"/>
      <c r="U143" s="206"/>
      <c r="V143" s="206"/>
    </row>
    <row r="144" ht="15.75" customHeight="1">
      <c r="B144" s="33"/>
      <c r="C144" s="199"/>
      <c r="D144" s="199"/>
      <c r="E144" s="207"/>
      <c r="F144" s="207"/>
      <c r="G144" s="208"/>
      <c r="H144" s="208" t="s">
        <v>180</v>
      </c>
      <c r="I144" s="216">
        <v>0.438</v>
      </c>
      <c r="J144" s="210" t="s">
        <v>181</v>
      </c>
      <c r="K144" s="207"/>
      <c r="L144" s="207"/>
      <c r="M144" s="207"/>
      <c r="N144" s="207"/>
      <c r="O144" s="207"/>
      <c r="P144" s="207"/>
      <c r="Q144" s="199"/>
      <c r="R144" s="199"/>
      <c r="T144" s="206"/>
      <c r="U144" s="206"/>
      <c r="V144" s="206"/>
    </row>
    <row r="145" ht="15.75" customHeight="1">
      <c r="B145" s="33"/>
      <c r="C145" s="199"/>
      <c r="D145" s="199"/>
      <c r="E145" s="207"/>
      <c r="F145" s="207"/>
      <c r="G145" s="208"/>
      <c r="H145" s="208" t="s">
        <v>182</v>
      </c>
      <c r="I145" s="217">
        <v>7.5735</v>
      </c>
      <c r="J145" s="218" t="s">
        <v>183</v>
      </c>
      <c r="K145" s="219">
        <f>I145*20.885</f>
        <v>158.1725475</v>
      </c>
      <c r="L145" s="211" t="s">
        <v>184</v>
      </c>
      <c r="M145" s="207"/>
      <c r="N145" s="72"/>
      <c r="O145" s="207"/>
      <c r="P145" s="207"/>
      <c r="Q145" s="199"/>
      <c r="R145" s="199"/>
      <c r="T145" s="206"/>
      <c r="U145" s="206"/>
      <c r="V145" s="206"/>
    </row>
    <row r="146" ht="15.75" customHeight="1">
      <c r="B146" s="33"/>
      <c r="C146" s="199"/>
      <c r="D146" s="199"/>
      <c r="E146" s="207"/>
      <c r="F146" s="207"/>
      <c r="G146" s="208"/>
      <c r="H146" s="208" t="s">
        <v>185</v>
      </c>
      <c r="I146" s="220">
        <v>6.9</v>
      </c>
      <c r="J146" s="221" t="s">
        <v>186</v>
      </c>
      <c r="K146" s="222">
        <f>I146*145.038</f>
        <v>1000.7622</v>
      </c>
      <c r="L146" s="223" t="s">
        <v>187</v>
      </c>
      <c r="M146" s="223" t="s">
        <v>231</v>
      </c>
      <c r="N146" s="72"/>
      <c r="O146" s="224"/>
      <c r="P146" s="224"/>
      <c r="Q146" s="33"/>
      <c r="R146" s="199"/>
      <c r="T146" s="206"/>
      <c r="U146" s="206"/>
      <c r="V146" s="206"/>
    </row>
    <row r="147" ht="15.75" customHeight="1">
      <c r="B147" s="33"/>
      <c r="C147" s="199"/>
      <c r="D147" s="199"/>
      <c r="E147" s="207"/>
      <c r="F147" s="207"/>
      <c r="G147" s="208"/>
      <c r="H147" s="208" t="s">
        <v>189</v>
      </c>
      <c r="I147" s="225">
        <f>0.1868*sqrt(I146)*1000</f>
        <v>490.683458</v>
      </c>
      <c r="J147" s="221" t="s">
        <v>183</v>
      </c>
      <c r="K147" s="222">
        <f>2.25*sqrt(K146)</f>
        <v>71.17835793</v>
      </c>
      <c r="L147" s="223" t="s">
        <v>187</v>
      </c>
      <c r="M147" s="223" t="s">
        <v>232</v>
      </c>
      <c r="N147" s="72"/>
      <c r="O147" s="223"/>
      <c r="P147" s="223"/>
      <c r="Q147" s="33"/>
      <c r="R147" s="199"/>
      <c r="T147" s="206"/>
      <c r="U147" s="206"/>
      <c r="V147" s="206"/>
    </row>
    <row r="148" ht="15.75" customHeight="1">
      <c r="E148" s="72"/>
      <c r="F148" s="72"/>
      <c r="G148" s="226"/>
      <c r="H148" s="226" t="s">
        <v>191</v>
      </c>
      <c r="I148" s="220">
        <v>0.8</v>
      </c>
      <c r="J148" s="221"/>
      <c r="K148" s="227"/>
      <c r="L148" s="227"/>
      <c r="M148" s="223" t="s">
        <v>192</v>
      </c>
      <c r="N148" s="72"/>
      <c r="O148" s="72"/>
      <c r="P148" s="72"/>
      <c r="T148" s="206"/>
      <c r="U148" s="206"/>
      <c r="V148" s="206"/>
    </row>
    <row r="149" ht="15.75" customHeight="1">
      <c r="B149" s="33"/>
      <c r="C149" s="199"/>
      <c r="D149" s="199"/>
      <c r="E149" s="207"/>
      <c r="F149" s="207"/>
      <c r="G149" s="208"/>
      <c r="H149" s="208" t="s">
        <v>193</v>
      </c>
      <c r="I149" s="225">
        <f>I147*I148</f>
        <v>392.5467664</v>
      </c>
      <c r="J149" s="218" t="s">
        <v>183</v>
      </c>
      <c r="K149" s="223"/>
      <c r="L149" s="223"/>
      <c r="M149" s="224"/>
      <c r="N149" s="224"/>
      <c r="O149" s="223"/>
      <c r="P149" s="223"/>
      <c r="Q149" s="33"/>
      <c r="R149" s="199"/>
      <c r="T149" s="206"/>
      <c r="U149" s="206"/>
      <c r="V149" s="206"/>
    </row>
    <row r="150" ht="15.75" customHeight="1">
      <c r="B150" s="33"/>
      <c r="C150" s="199"/>
      <c r="D150" s="199"/>
      <c r="E150" s="207"/>
      <c r="F150" s="207"/>
      <c r="G150" s="208"/>
      <c r="H150" s="208" t="s">
        <v>194</v>
      </c>
      <c r="I150" s="228">
        <v>1.5</v>
      </c>
      <c r="J150" s="210" t="s">
        <v>195</v>
      </c>
      <c r="K150" s="207"/>
      <c r="L150" s="207"/>
      <c r="M150" s="207"/>
      <c r="N150" s="207"/>
      <c r="O150" s="207"/>
      <c r="P150" s="207"/>
      <c r="Q150" s="199"/>
      <c r="R150" s="199"/>
      <c r="T150" s="206"/>
      <c r="U150" s="206"/>
      <c r="V150" s="206"/>
    </row>
    <row r="151" ht="15.75" customHeight="1">
      <c r="B151" s="33"/>
      <c r="C151" s="199"/>
      <c r="D151" s="199"/>
      <c r="E151" s="207"/>
      <c r="F151" s="207"/>
      <c r="G151" s="208"/>
      <c r="H151" s="208" t="s">
        <v>196</v>
      </c>
      <c r="I151" s="209">
        <v>3.0</v>
      </c>
      <c r="J151" s="210"/>
      <c r="K151" s="207"/>
      <c r="L151" s="207"/>
      <c r="M151" s="207"/>
      <c r="N151" s="207"/>
      <c r="O151" s="207"/>
      <c r="P151" s="207"/>
      <c r="Q151" s="199"/>
      <c r="R151" s="199"/>
      <c r="T151" s="206"/>
      <c r="U151" s="206"/>
      <c r="V151" s="206"/>
    </row>
    <row r="152" ht="15.75" customHeight="1">
      <c r="C152" s="199"/>
      <c r="D152" s="199"/>
      <c r="E152" s="207"/>
      <c r="F152" s="207"/>
      <c r="G152" s="213"/>
      <c r="H152" s="213"/>
      <c r="I152" s="209"/>
      <c r="J152" s="210"/>
      <c r="K152" s="207"/>
      <c r="L152" s="207"/>
      <c r="M152" s="207"/>
      <c r="N152" s="207"/>
      <c r="O152" s="207"/>
      <c r="P152" s="72"/>
      <c r="T152" s="206"/>
      <c r="U152" s="206"/>
      <c r="V152" s="206"/>
    </row>
    <row r="153" ht="15.75" customHeight="1">
      <c r="B153" s="229" t="s">
        <v>197</v>
      </c>
      <c r="C153" s="199"/>
      <c r="D153" s="230"/>
      <c r="E153" s="231"/>
      <c r="F153" s="231"/>
      <c r="G153" s="231"/>
      <c r="H153" s="231" t="s">
        <v>198</v>
      </c>
      <c r="I153" s="232">
        <f>$D$95*I145*I140*$R$101</f>
        <v>1153.719725</v>
      </c>
      <c r="J153" s="233" t="s">
        <v>199</v>
      </c>
      <c r="K153" s="234" t="s">
        <v>200</v>
      </c>
      <c r="L153" s="72"/>
      <c r="M153" s="207"/>
      <c r="N153" s="207"/>
      <c r="O153" s="207"/>
      <c r="P153" s="72"/>
      <c r="T153" s="206"/>
      <c r="U153" s="206"/>
      <c r="V153" s="206"/>
    </row>
    <row r="154" ht="15.75" customHeight="1">
      <c r="B154" s="32"/>
      <c r="C154" s="199"/>
      <c r="D154" s="230"/>
      <c r="E154" s="231"/>
      <c r="F154" s="231"/>
      <c r="G154" s="231"/>
      <c r="H154" s="231" t="s">
        <v>201</v>
      </c>
      <c r="I154" s="232">
        <f>I153*I139*I141/I151</f>
        <v>435.8568527</v>
      </c>
      <c r="J154" s="233" t="s">
        <v>199</v>
      </c>
      <c r="K154" s="234" t="s">
        <v>233</v>
      </c>
      <c r="L154" s="72"/>
      <c r="M154" s="207"/>
      <c r="N154" s="207"/>
      <c r="O154" s="207"/>
      <c r="P154" s="72"/>
      <c r="T154" s="206"/>
      <c r="U154" s="206"/>
      <c r="V154" s="206"/>
    </row>
    <row r="155" ht="15.75" customHeight="1">
      <c r="B155" s="33"/>
      <c r="C155" s="199"/>
      <c r="D155" s="235"/>
      <c r="E155" s="236"/>
      <c r="F155" s="236"/>
      <c r="G155" s="231"/>
      <c r="H155" s="231" t="s">
        <v>203</v>
      </c>
      <c r="I155" s="232">
        <f>I149*I142*I143/I150</f>
        <v>383.7275491</v>
      </c>
      <c r="J155" s="233" t="s">
        <v>183</v>
      </c>
      <c r="K155" s="234" t="s">
        <v>204</v>
      </c>
      <c r="L155" s="72"/>
      <c r="M155" s="207"/>
      <c r="N155" s="207"/>
      <c r="O155" s="207"/>
      <c r="P155" s="72"/>
      <c r="T155" s="206"/>
      <c r="U155" s="206"/>
      <c r="V155" s="206"/>
    </row>
    <row r="156" ht="15.75" customHeight="1">
      <c r="B156" s="33"/>
      <c r="C156" s="199"/>
      <c r="D156" s="235"/>
      <c r="E156" s="236"/>
      <c r="F156" s="236"/>
      <c r="G156" s="231"/>
      <c r="H156" s="231" t="s">
        <v>205</v>
      </c>
      <c r="I156" s="214">
        <f>I154/I155</f>
        <v>1.135849781</v>
      </c>
      <c r="J156" s="233" t="s">
        <v>87</v>
      </c>
      <c r="K156" s="234" t="s">
        <v>206</v>
      </c>
      <c r="L156" s="72"/>
      <c r="M156" s="207"/>
      <c r="N156" s="207"/>
      <c r="O156" s="207"/>
      <c r="P156" s="72"/>
      <c r="T156" s="206"/>
      <c r="U156" s="206"/>
      <c r="V156" s="206"/>
    </row>
    <row r="157" ht="15.75" customHeight="1">
      <c r="B157" s="33"/>
      <c r="C157" s="199"/>
      <c r="D157" s="230"/>
      <c r="E157" s="231"/>
      <c r="F157" s="231"/>
      <c r="G157" s="231"/>
      <c r="H157" s="231" t="s">
        <v>207</v>
      </c>
      <c r="I157" s="214">
        <f>I156/$I$144</f>
        <v>2.593264341</v>
      </c>
      <c r="J157" s="233" t="s">
        <v>87</v>
      </c>
      <c r="K157" s="234" t="s">
        <v>208</v>
      </c>
      <c r="L157" s="72"/>
      <c r="M157" s="207"/>
      <c r="N157" s="207"/>
      <c r="O157" s="207"/>
      <c r="P157" s="72"/>
      <c r="T157" s="206"/>
      <c r="U157" s="206"/>
      <c r="V157" s="206"/>
    </row>
    <row r="158" ht="15.75" customHeight="1">
      <c r="B158" s="33"/>
      <c r="C158" s="199"/>
      <c r="D158" s="235"/>
      <c r="E158" s="236"/>
      <c r="F158" s="236"/>
      <c r="G158" s="231"/>
      <c r="H158" s="231" t="s">
        <v>209</v>
      </c>
      <c r="I158" s="237">
        <f>I157/$P$93</f>
        <v>0.04800563386</v>
      </c>
      <c r="J158" s="238"/>
      <c r="K158" s="234" t="s">
        <v>210</v>
      </c>
      <c r="L158" s="72"/>
      <c r="M158" s="207"/>
      <c r="N158" s="207"/>
      <c r="O158" s="207"/>
      <c r="P158" s="207"/>
      <c r="Q158" s="199"/>
      <c r="R158" s="199"/>
      <c r="T158" s="206"/>
      <c r="U158" s="206"/>
      <c r="V158" s="206"/>
    </row>
    <row r="159" ht="15.75" customHeight="1">
      <c r="B159" s="33"/>
      <c r="C159" s="199"/>
      <c r="D159" s="199"/>
      <c r="E159" s="207"/>
      <c r="F159" s="207"/>
      <c r="G159" s="208"/>
      <c r="H159" s="208" t="s">
        <v>211</v>
      </c>
      <c r="I159" s="239">
        <f>I145*$D$9*I140*I139*I141*I150/(I151*I148*I147*I142*I143*I144)</f>
        <v>0.04800563386</v>
      </c>
      <c r="J159" s="240" t="s">
        <v>212</v>
      </c>
      <c r="K159" s="241" t="s">
        <v>213</v>
      </c>
      <c r="L159" s="72"/>
      <c r="M159" s="207"/>
      <c r="N159" s="207"/>
      <c r="O159" s="207"/>
      <c r="P159" s="242"/>
      <c r="Q159" s="199"/>
      <c r="R159" s="199"/>
      <c r="T159" s="206"/>
      <c r="U159" s="206"/>
      <c r="V159" s="206"/>
    </row>
    <row r="160" ht="15.75" customHeight="1">
      <c r="B160" s="33"/>
      <c r="C160" s="199"/>
      <c r="D160" s="199"/>
      <c r="E160" s="207"/>
      <c r="F160" s="207"/>
      <c r="G160" s="213"/>
      <c r="H160" s="208" t="s">
        <v>214</v>
      </c>
      <c r="I160" s="239">
        <f>MAX(0.01,0.0075*I139)*(1.33/$I$142)</f>
        <v>0.0104703826</v>
      </c>
      <c r="J160" s="210" t="s">
        <v>215</v>
      </c>
      <c r="K160" s="207"/>
      <c r="L160" s="207"/>
      <c r="M160" s="207"/>
      <c r="N160" s="72"/>
      <c r="O160" s="72"/>
      <c r="P160" s="72"/>
      <c r="T160" s="206"/>
      <c r="U160" s="206"/>
      <c r="V160" s="206"/>
    </row>
    <row r="161" ht="15.75" customHeight="1">
      <c r="B161" s="199"/>
      <c r="C161" s="199"/>
      <c r="D161" s="199"/>
      <c r="E161" s="207"/>
      <c r="F161" s="207"/>
      <c r="G161" s="213"/>
      <c r="H161" s="208" t="s">
        <v>216</v>
      </c>
      <c r="I161" s="239">
        <f>max(I160,I159)</f>
        <v>0.04800563386</v>
      </c>
      <c r="J161" s="210" t="s">
        <v>217</v>
      </c>
      <c r="K161" s="207"/>
      <c r="L161" s="207"/>
      <c r="M161" s="207"/>
      <c r="N161" s="207"/>
      <c r="O161" s="211"/>
      <c r="P161" s="207"/>
      <c r="T161" s="206"/>
      <c r="U161" s="206"/>
      <c r="V161" s="206"/>
    </row>
    <row r="162" ht="15.75" customHeight="1">
      <c r="B162" s="33"/>
      <c r="C162" s="58"/>
      <c r="D162" s="47"/>
      <c r="E162" s="224"/>
      <c r="F162" s="224"/>
      <c r="G162" s="72"/>
      <c r="H162" s="72"/>
      <c r="I162" s="224"/>
      <c r="J162" s="224"/>
      <c r="K162" s="207"/>
      <c r="L162" s="207"/>
      <c r="M162" s="207"/>
      <c r="N162" s="207"/>
      <c r="O162" s="207"/>
      <c r="P162" s="207"/>
      <c r="U162" s="243"/>
    </row>
    <row r="163" ht="15.75" customHeight="1">
      <c r="A163" s="244" t="s">
        <v>218</v>
      </c>
      <c r="C163" s="245"/>
      <c r="D163" s="246"/>
      <c r="E163" s="224"/>
      <c r="F163" s="224"/>
      <c r="G163" s="231"/>
      <c r="H163" s="231" t="s">
        <v>219</v>
      </c>
      <c r="I163" s="209">
        <f>IF(ISERROR(I161/L125),"",I161/L125)</f>
        <v>0.9264244235</v>
      </c>
      <c r="J163" s="247" t="str">
        <f t="shared" ref="J163:J164" si="26">IF(I163="","",IF(I163&lt;=1,"OK","NG"))</f>
        <v>OK</v>
      </c>
      <c r="K163" s="211" t="s">
        <v>220</v>
      </c>
      <c r="L163" s="72"/>
      <c r="M163" s="207"/>
      <c r="N163" s="207"/>
      <c r="O163" s="207"/>
      <c r="P163" s="207"/>
      <c r="T163" s="248"/>
      <c r="U163" s="205"/>
    </row>
    <row r="164" ht="15.75" customHeight="1">
      <c r="A164" s="244" t="s">
        <v>221</v>
      </c>
      <c r="B164" s="249"/>
      <c r="C164" s="246"/>
      <c r="D164" s="246"/>
      <c r="E164" s="224"/>
      <c r="F164" s="224"/>
      <c r="G164" s="231"/>
      <c r="H164" s="231" t="s">
        <v>219</v>
      </c>
      <c r="I164" s="209">
        <f>max(T124)</f>
        <v>0.9907999</v>
      </c>
      <c r="J164" s="247" t="str">
        <f t="shared" si="26"/>
        <v>OK</v>
      </c>
      <c r="K164" s="211" t="s">
        <v>222</v>
      </c>
      <c r="L164" s="72"/>
      <c r="M164" s="207"/>
      <c r="N164" s="207"/>
      <c r="O164" s="207"/>
      <c r="P164" s="72"/>
      <c r="T164" s="248"/>
      <c r="U164" s="205"/>
      <c r="V164" s="205"/>
    </row>
    <row r="165" ht="15.75" customHeight="1">
      <c r="A165" s="244" t="s">
        <v>223</v>
      </c>
      <c r="B165" s="249"/>
      <c r="C165" s="249"/>
      <c r="D165" s="250"/>
      <c r="E165" s="72"/>
      <c r="F165" s="72"/>
      <c r="G165" s="226"/>
      <c r="H165" s="226"/>
      <c r="J165" s="251" t="str">
        <f>U124</f>
        <v>OK</v>
      </c>
      <c r="K165" s="252" t="s">
        <v>224</v>
      </c>
      <c r="L165" s="72"/>
      <c r="M165" s="72"/>
      <c r="N165" s="72"/>
      <c r="O165" s="72"/>
      <c r="P165" s="72"/>
      <c r="V165" s="206"/>
    </row>
    <row r="166" ht="27.0" customHeight="1"/>
    <row r="167" ht="24.75" customHeight="1"/>
    <row r="168" ht="27.75" customHeight="1"/>
    <row r="169" ht="24.75" customHeight="1"/>
    <row r="170" ht="23.25" customHeight="1"/>
    <row r="171" ht="29.25" customHeight="1">
      <c r="A171" s="43"/>
      <c r="B171" s="43"/>
      <c r="C171" s="44"/>
      <c r="D171" s="43"/>
      <c r="E171" s="43"/>
      <c r="F171" s="43"/>
      <c r="G171" s="43"/>
      <c r="H171" s="43"/>
      <c r="I171" s="43"/>
      <c r="J171" s="43"/>
      <c r="K171" s="43"/>
      <c r="L171" s="43"/>
      <c r="M171" s="43"/>
      <c r="N171" s="43"/>
      <c r="O171" s="45"/>
      <c r="P171" s="43"/>
      <c r="Q171" s="43"/>
      <c r="R171" s="46"/>
      <c r="S171" s="47"/>
    </row>
    <row r="172" ht="15.75" customHeight="1">
      <c r="A172" s="43"/>
      <c r="B172" s="49" t="s">
        <v>75</v>
      </c>
      <c r="C172" s="50"/>
      <c r="D172" s="51"/>
      <c r="E172" s="51"/>
      <c r="F172" s="51"/>
      <c r="G172" s="51"/>
      <c r="H172" s="51"/>
      <c r="I172" s="51"/>
      <c r="J172" s="51"/>
      <c r="K172" s="51"/>
      <c r="L172" s="51"/>
      <c r="M172" s="51"/>
      <c r="N172" s="52" t="s">
        <v>76</v>
      </c>
      <c r="O172" s="52"/>
      <c r="P172" s="51"/>
      <c r="Q172" s="51"/>
      <c r="R172" s="53"/>
      <c r="S172" s="54"/>
    </row>
    <row r="173" ht="15.75" customHeight="1">
      <c r="A173" s="43"/>
      <c r="B173" s="49" t="s">
        <v>77</v>
      </c>
      <c r="C173" s="55" t="s">
        <v>78</v>
      </c>
      <c r="D173" s="56"/>
      <c r="E173" s="51"/>
      <c r="F173" s="51"/>
      <c r="G173" s="51"/>
      <c r="H173" s="51"/>
      <c r="I173" s="51"/>
      <c r="J173" s="51"/>
      <c r="K173" s="51"/>
      <c r="L173" s="51"/>
      <c r="M173" s="51"/>
      <c r="N173" s="57" t="s">
        <v>79</v>
      </c>
      <c r="O173" s="57"/>
      <c r="P173" s="51"/>
      <c r="Q173" s="51"/>
      <c r="R173" s="53"/>
      <c r="S173" s="54"/>
    </row>
    <row r="174" ht="15.75" customHeight="1">
      <c r="A174" s="43"/>
      <c r="B174" s="51"/>
      <c r="C174" s="52"/>
      <c r="D174" s="56"/>
      <c r="E174" s="51"/>
      <c r="F174" s="51"/>
      <c r="G174" s="51"/>
      <c r="H174" s="51"/>
      <c r="I174" s="51"/>
      <c r="J174" s="51"/>
      <c r="K174" s="51"/>
      <c r="L174" s="51"/>
      <c r="M174" s="51"/>
      <c r="N174" s="57" t="s">
        <v>80</v>
      </c>
      <c r="O174" s="57"/>
      <c r="P174" s="51"/>
      <c r="Q174" s="51"/>
      <c r="R174" s="53"/>
      <c r="S174" s="54"/>
    </row>
    <row r="175" ht="15.75" customHeight="1">
      <c r="A175" s="43"/>
      <c r="B175" s="43"/>
      <c r="C175" s="45"/>
      <c r="D175" s="43"/>
      <c r="E175" s="43"/>
      <c r="F175" s="43"/>
      <c r="G175" s="43"/>
      <c r="H175" s="43"/>
      <c r="I175" s="43"/>
      <c r="J175" s="43"/>
      <c r="K175" s="43"/>
      <c r="L175" s="43"/>
      <c r="M175" s="43"/>
      <c r="N175" s="43"/>
      <c r="O175" s="43"/>
      <c r="P175" s="43"/>
      <c r="Q175" s="43"/>
      <c r="R175" s="46"/>
      <c r="S175" s="33"/>
    </row>
    <row r="176" ht="33.0" customHeight="1">
      <c r="A176" s="43"/>
      <c r="B176" s="43"/>
      <c r="C176" s="45"/>
      <c r="D176" s="43"/>
      <c r="E176" s="43"/>
      <c r="F176" s="43"/>
      <c r="G176" s="43"/>
      <c r="H176" s="43"/>
      <c r="I176" s="43"/>
      <c r="J176" s="201"/>
      <c r="K176" s="98" t="s">
        <v>234</v>
      </c>
      <c r="L176" s="43"/>
      <c r="M176" s="43"/>
      <c r="N176" s="43"/>
      <c r="O176" s="43"/>
      <c r="P176" s="43"/>
      <c r="Q176" s="43"/>
      <c r="R176" s="46"/>
      <c r="S176" s="33"/>
    </row>
    <row r="177" ht="15.75" customHeight="1">
      <c r="A177" s="58"/>
      <c r="B177" s="59" t="s">
        <v>81</v>
      </c>
      <c r="C177" s="60"/>
      <c r="D177" s="61"/>
      <c r="E177" s="61" t="s">
        <v>82</v>
      </c>
      <c r="F177" s="61"/>
      <c r="G177" s="60"/>
      <c r="H177" s="60"/>
      <c r="I177" s="43"/>
      <c r="J177" s="58"/>
      <c r="K177" s="62"/>
      <c r="L177" s="62"/>
      <c r="M177" s="62"/>
      <c r="N177" s="58"/>
      <c r="O177" s="58"/>
      <c r="R177" s="58"/>
    </row>
    <row r="178" ht="15.75" customHeight="1">
      <c r="A178" s="66"/>
      <c r="B178" s="67" t="s">
        <v>85</v>
      </c>
      <c r="C178" s="68"/>
      <c r="D178" s="68"/>
      <c r="E178" s="68"/>
      <c r="F178" s="68"/>
      <c r="G178" s="68"/>
      <c r="H178" s="68"/>
      <c r="I178" s="68"/>
      <c r="J178" s="5"/>
      <c r="K178" s="69"/>
      <c r="N178" s="68"/>
      <c r="O178" s="70" t="s">
        <v>86</v>
      </c>
      <c r="P178" s="86">
        <f t="shared" ref="P178:P180" si="27">P7</f>
        <v>54.02</v>
      </c>
      <c r="Q178" s="71" t="s">
        <v>87</v>
      </c>
      <c r="R178" s="71"/>
      <c r="S178" s="68"/>
      <c r="T178" s="68"/>
      <c r="U178" s="72"/>
    </row>
    <row r="179" ht="15.75" customHeight="1">
      <c r="A179" s="73"/>
      <c r="B179" s="74"/>
      <c r="C179" s="70" t="s">
        <v>88</v>
      </c>
      <c r="D179" s="75">
        <v>3.3</v>
      </c>
      <c r="E179" s="43" t="str">
        <f>lookup($D$179,Reference!$B$37:$B$42,Reference!$M$37:$M$42)</f>
        <v>Troisième de trois étages</v>
      </c>
      <c r="F179" s="43"/>
      <c r="G179" s="43"/>
      <c r="H179" s="43"/>
      <c r="I179" s="68"/>
      <c r="J179" s="65"/>
      <c r="L179" s="76"/>
      <c r="N179" s="68"/>
      <c r="O179" s="77" t="s">
        <v>89</v>
      </c>
      <c r="P179" s="86">
        <f t="shared" si="27"/>
        <v>14.6</v>
      </c>
      <c r="Q179" s="71" t="s">
        <v>87</v>
      </c>
      <c r="R179" s="71"/>
      <c r="S179" s="68"/>
      <c r="T179" s="68"/>
      <c r="U179" s="72"/>
    </row>
    <row r="180" ht="15.75" customHeight="1">
      <c r="A180" s="74"/>
      <c r="B180" s="43"/>
      <c r="C180" s="78" t="s">
        <v>226</v>
      </c>
      <c r="D180" s="79">
        <f>lookup($D$179,Reference!$B$37:$B$42,Reference!$C$37:$C$42)</f>
        <v>3</v>
      </c>
      <c r="E180" s="80" t="s">
        <v>91</v>
      </c>
      <c r="F180" s="80"/>
      <c r="G180" s="80"/>
      <c r="H180" s="80"/>
      <c r="I180" s="43"/>
      <c r="J180" s="65"/>
      <c r="L180" s="76"/>
      <c r="N180" s="68"/>
      <c r="O180" s="77" t="s">
        <v>92</v>
      </c>
      <c r="P180" s="86">
        <f t="shared" si="27"/>
        <v>3.7</v>
      </c>
      <c r="Q180" s="71" t="s">
        <v>87</v>
      </c>
      <c r="R180" s="71"/>
      <c r="S180" s="68"/>
      <c r="T180" s="68"/>
      <c r="U180" s="72"/>
    </row>
    <row r="181" ht="15.75" customHeight="1">
      <c r="A181" s="67"/>
      <c r="B181" s="68"/>
      <c r="C181" s="77" t="s">
        <v>93</v>
      </c>
      <c r="D181" s="79">
        <f>lookup($D$179,Reference!$B$37:$B$42,Reference!$D$37:$D$42)</f>
        <v>3</v>
      </c>
      <c r="E181" s="68" t="str">
        <f>lookup($D$179,Reference!$B$37:$B$42,Reference!$E$37:$E$42)</f>
        <v>Niveau supérieur</v>
      </c>
      <c r="F181" s="68"/>
      <c r="G181" s="68"/>
      <c r="H181" s="68"/>
      <c r="I181" s="68"/>
      <c r="J181" s="85"/>
      <c r="L181" s="82"/>
      <c r="N181" s="68"/>
      <c r="O181" s="68"/>
      <c r="P181" s="68"/>
      <c r="Q181" s="43"/>
      <c r="R181" s="43"/>
      <c r="S181" s="43"/>
      <c r="T181" s="43"/>
    </row>
    <row r="182" ht="15.75" customHeight="1">
      <c r="A182" s="254"/>
      <c r="B182" s="254"/>
      <c r="C182" s="63" t="s">
        <v>94</v>
      </c>
      <c r="D182" s="83">
        <v>2.9</v>
      </c>
      <c r="E182" s="68"/>
      <c r="J182" s="85"/>
      <c r="L182" s="84"/>
      <c r="N182" s="68"/>
      <c r="O182" s="68"/>
      <c r="P182" s="68"/>
      <c r="Q182" s="43"/>
      <c r="R182" s="43"/>
      <c r="S182" s="43"/>
      <c r="T182" s="43"/>
    </row>
    <row r="183" ht="15.75" customHeight="1">
      <c r="A183" s="43"/>
      <c r="B183" s="74"/>
      <c r="C183" s="70" t="s">
        <v>95</v>
      </c>
      <c r="D183" s="75" t="str">
        <f t="shared" ref="D183:D185" si="28">D12</f>
        <v>Lourde</v>
      </c>
      <c r="E183" s="43"/>
      <c r="F183" s="33"/>
      <c r="G183" s="33"/>
      <c r="H183" s="33"/>
      <c r="I183" s="33"/>
      <c r="J183" s="85"/>
      <c r="K183" s="85"/>
      <c r="L183" s="84"/>
      <c r="N183" s="68"/>
      <c r="O183" s="68"/>
      <c r="P183" s="68"/>
      <c r="Q183" s="43"/>
      <c r="R183" s="43"/>
      <c r="S183" s="43"/>
      <c r="T183" s="43"/>
    </row>
    <row r="184" ht="15.75" customHeight="1">
      <c r="A184" s="43"/>
      <c r="B184" s="43"/>
      <c r="C184" s="78" t="s">
        <v>97</v>
      </c>
      <c r="D184" s="86" t="str">
        <f t="shared" si="28"/>
        <v>B</v>
      </c>
      <c r="E184" s="80"/>
      <c r="F184" s="32"/>
      <c r="G184" s="87"/>
      <c r="H184" s="87"/>
      <c r="I184" s="33"/>
      <c r="J184" s="85"/>
      <c r="K184" s="85"/>
      <c r="L184" s="84"/>
      <c r="N184" s="68"/>
      <c r="O184" s="88" t="s">
        <v>99</v>
      </c>
      <c r="P184" s="48"/>
      <c r="Q184" s="43"/>
      <c r="R184" s="80" t="s">
        <v>227</v>
      </c>
      <c r="S184" s="43"/>
      <c r="T184" s="43"/>
      <c r="U184" s="72"/>
    </row>
    <row r="185" ht="15.75" customHeight="1">
      <c r="A185" s="43"/>
      <c r="B185" s="43"/>
      <c r="C185" s="70" t="s">
        <v>101</v>
      </c>
      <c r="D185" s="89">
        <f t="shared" si="28"/>
        <v>1.1</v>
      </c>
      <c r="E185" s="80"/>
      <c r="F185" s="32"/>
      <c r="G185" s="33"/>
      <c r="H185" s="33"/>
      <c r="I185" s="33"/>
      <c r="J185" s="85"/>
      <c r="K185" s="85"/>
      <c r="L185" s="84"/>
      <c r="N185" s="68"/>
      <c r="O185" s="70" t="s">
        <v>102</v>
      </c>
      <c r="P185" s="91">
        <f>P14</f>
        <v>3.945945946</v>
      </c>
      <c r="Q185" s="43"/>
      <c r="R185" s="43"/>
      <c r="S185" s="92"/>
      <c r="T185" s="43"/>
      <c r="U185" s="72"/>
    </row>
    <row r="186" ht="15.75" customHeight="1">
      <c r="A186" s="68"/>
      <c r="B186" s="43"/>
      <c r="C186" s="70" t="s">
        <v>103</v>
      </c>
      <c r="D186" s="86" t="str">
        <f t="shared" ref="D186:D189" si="29">D101</f>
        <v>D</v>
      </c>
      <c r="E186" s="80"/>
      <c r="F186" s="32"/>
      <c r="G186" s="33"/>
      <c r="H186" s="33"/>
      <c r="I186" s="33"/>
      <c r="J186" s="93"/>
      <c r="N186" s="68"/>
      <c r="O186" s="70" t="s">
        <v>105</v>
      </c>
      <c r="P186" s="45"/>
      <c r="Q186" s="80" t="s">
        <v>228</v>
      </c>
      <c r="R186" s="92">
        <f>R15</f>
        <v>54.02</v>
      </c>
      <c r="S186" s="92"/>
      <c r="T186" s="94">
        <f>T15</f>
        <v>3.7</v>
      </c>
      <c r="U186" s="72"/>
    </row>
    <row r="187" ht="15.75" customHeight="1">
      <c r="A187" s="68"/>
      <c r="B187" s="68"/>
      <c r="C187" s="77" t="s">
        <v>107</v>
      </c>
      <c r="D187" s="95">
        <f t="shared" si="29"/>
        <v>1.59</v>
      </c>
      <c r="E187" s="68"/>
      <c r="N187" s="68"/>
      <c r="O187" s="43"/>
      <c r="P187" s="45"/>
      <c r="Q187" s="43"/>
      <c r="R187" s="256" t="s">
        <v>235</v>
      </c>
      <c r="T187" s="43"/>
      <c r="U187" s="72"/>
    </row>
    <row r="188" ht="15.75" customHeight="1">
      <c r="A188" s="43"/>
      <c r="B188" s="68"/>
      <c r="C188" s="77" t="s">
        <v>109</v>
      </c>
      <c r="D188" s="95">
        <f t="shared" si="29"/>
        <v>1.2</v>
      </c>
      <c r="E188" s="68"/>
      <c r="N188" s="68"/>
      <c r="O188" s="43"/>
      <c r="P188" s="43"/>
      <c r="Q188" s="43"/>
      <c r="R188" s="92">
        <f>R17</f>
        <v>14.6</v>
      </c>
      <c r="S188" s="92"/>
      <c r="T188" s="43"/>
      <c r="U188" s="72"/>
    </row>
    <row r="189" ht="15.75" customHeight="1">
      <c r="A189" s="68"/>
      <c r="B189" s="68"/>
      <c r="C189" s="77" t="s">
        <v>110</v>
      </c>
      <c r="D189" s="257">
        <f t="shared" si="29"/>
        <v>1.3992</v>
      </c>
      <c r="E189" s="68"/>
      <c r="N189" s="72"/>
      <c r="O189" s="72"/>
      <c r="P189" s="72"/>
      <c r="Q189" s="72"/>
      <c r="R189" s="72"/>
      <c r="S189" s="72"/>
      <c r="T189" s="72"/>
      <c r="U189" s="72"/>
    </row>
    <row r="190" ht="15.75" customHeight="1"/>
    <row r="191" ht="15.75" customHeight="1"/>
    <row r="192" ht="15.75" customHeight="1">
      <c r="A192" s="99"/>
      <c r="B192" s="100" t="s">
        <v>112</v>
      </c>
      <c r="C192" s="101" t="s">
        <v>113</v>
      </c>
      <c r="D192" s="101" t="s">
        <v>114</v>
      </c>
      <c r="E192" s="101"/>
      <c r="F192" s="102"/>
      <c r="G192" s="103"/>
      <c r="H192" s="102" t="s">
        <v>115</v>
      </c>
      <c r="I192" s="102"/>
      <c r="J192" s="101"/>
      <c r="K192" s="101" t="s">
        <v>116</v>
      </c>
      <c r="L192" s="101" t="s">
        <v>117</v>
      </c>
      <c r="M192" s="104" t="s">
        <v>118</v>
      </c>
      <c r="N192" s="101"/>
      <c r="O192" s="105"/>
      <c r="P192" s="105"/>
      <c r="Q192" s="101"/>
      <c r="R192" s="106"/>
      <c r="S192" s="107"/>
      <c r="T192" s="107"/>
      <c r="U192" s="108"/>
    </row>
    <row r="193" ht="15.75" customHeight="1">
      <c r="A193" s="99"/>
      <c r="B193" s="109"/>
      <c r="C193" s="110"/>
      <c r="D193" s="111" t="s">
        <v>119</v>
      </c>
      <c r="E193" s="111" t="s">
        <v>120</v>
      </c>
      <c r="F193" s="111" t="s">
        <v>121</v>
      </c>
      <c r="G193" s="112" t="s">
        <v>122</v>
      </c>
      <c r="H193" s="111" t="s">
        <v>123</v>
      </c>
      <c r="I193" s="111" t="s">
        <v>124</v>
      </c>
      <c r="J193" s="111" t="s">
        <v>125</v>
      </c>
      <c r="K193" s="111" t="s">
        <v>126</v>
      </c>
      <c r="L193" s="111" t="s">
        <v>127</v>
      </c>
      <c r="M193" s="113" t="s">
        <v>128</v>
      </c>
      <c r="N193" s="111" t="s">
        <v>129</v>
      </c>
      <c r="O193" s="111" t="s">
        <v>123</v>
      </c>
      <c r="P193" s="110" t="s">
        <v>130</v>
      </c>
      <c r="Q193" s="111" t="s">
        <v>131</v>
      </c>
      <c r="R193" s="114" t="s">
        <v>132</v>
      </c>
      <c r="S193" s="115"/>
      <c r="T193" s="115"/>
      <c r="U193" s="116"/>
    </row>
    <row r="194" ht="15.75" customHeight="1">
      <c r="A194" s="99"/>
      <c r="B194" s="117"/>
      <c r="C194" s="118"/>
      <c r="D194" s="111" t="s">
        <v>133</v>
      </c>
      <c r="E194" s="111" t="s">
        <v>134</v>
      </c>
      <c r="F194" s="115" t="s">
        <v>135</v>
      </c>
      <c r="G194" s="116" t="s">
        <v>136</v>
      </c>
      <c r="H194" s="111" t="s">
        <v>137</v>
      </c>
      <c r="I194" s="111" t="s">
        <v>138</v>
      </c>
      <c r="J194" s="111" t="s">
        <v>139</v>
      </c>
      <c r="K194" s="111" t="s">
        <v>137</v>
      </c>
      <c r="L194" s="111" t="s">
        <v>140</v>
      </c>
      <c r="M194" s="113" t="s">
        <v>141</v>
      </c>
      <c r="N194" s="111" t="s">
        <v>142</v>
      </c>
      <c r="O194" s="111" t="s">
        <v>143</v>
      </c>
      <c r="P194" s="115" t="s">
        <v>144</v>
      </c>
      <c r="Q194" s="111" t="s">
        <v>145</v>
      </c>
      <c r="R194" s="115" t="s">
        <v>146</v>
      </c>
      <c r="S194" s="115" t="s">
        <v>147</v>
      </c>
      <c r="T194" s="115" t="s">
        <v>148</v>
      </c>
      <c r="U194" s="116" t="s">
        <v>149</v>
      </c>
    </row>
    <row r="195">
      <c r="A195" s="99"/>
      <c r="B195" s="119"/>
      <c r="C195" s="120"/>
      <c r="D195" s="121" t="s">
        <v>134</v>
      </c>
      <c r="E195" s="121"/>
      <c r="F195" s="120"/>
      <c r="G195" s="122"/>
      <c r="H195" s="123" t="s">
        <v>150</v>
      </c>
      <c r="I195" s="123" t="s">
        <v>151</v>
      </c>
      <c r="J195" s="120"/>
      <c r="K195" s="124" t="s">
        <v>152</v>
      </c>
      <c r="L195" s="125" t="s">
        <v>153</v>
      </c>
      <c r="M195" s="126" t="s">
        <v>154</v>
      </c>
      <c r="N195" s="125" t="s">
        <v>155</v>
      </c>
      <c r="O195" s="124" t="s">
        <v>156</v>
      </c>
      <c r="P195" s="121"/>
      <c r="Q195" s="125"/>
      <c r="R195" s="127"/>
      <c r="S195" s="127"/>
      <c r="T195" s="121" t="s">
        <v>157</v>
      </c>
      <c r="U195" s="128"/>
    </row>
    <row r="196" ht="15.75" customHeight="1">
      <c r="A196" s="129"/>
      <c r="B196" s="130">
        <v>1.0</v>
      </c>
      <c r="C196" s="131">
        <v>45658.0</v>
      </c>
      <c r="D196" s="265">
        <v>1.3</v>
      </c>
      <c r="E196" s="265">
        <v>0.15</v>
      </c>
      <c r="F196" s="266">
        <v>6.9</v>
      </c>
      <c r="G196" s="267">
        <v>0.438</v>
      </c>
      <c r="H196" s="135">
        <f t="shared" ref="H196:H197" si="30">D196*0.15</f>
        <v>0.195</v>
      </c>
      <c r="I196" s="135">
        <f t="shared" ref="I196:I197" si="31">G196*E196/$I$229/0.15</f>
        <v>1</v>
      </c>
      <c r="J196" s="135">
        <f t="shared" ref="J196:J197" si="32">sqrt(F196/6.9)</f>
        <v>1</v>
      </c>
      <c r="K196" s="136">
        <f t="shared" ref="K196:K197" si="33">I196*J196</f>
        <v>1</v>
      </c>
      <c r="L196" s="137">
        <f t="shared" ref="L196:L197" si="34">H196*K196</f>
        <v>0.195</v>
      </c>
      <c r="M196" s="138"/>
      <c r="N196" s="139"/>
      <c r="O196" s="140"/>
      <c r="P196" s="141"/>
      <c r="Q196" s="142"/>
      <c r="R196" s="143"/>
      <c r="S196" s="143"/>
      <c r="T196" s="144"/>
      <c r="U196" s="145"/>
    </row>
    <row r="197" ht="15.75" customHeight="1">
      <c r="A197" s="129"/>
      <c r="B197" s="146">
        <v>1.0</v>
      </c>
      <c r="C197" s="131">
        <v>45659.0</v>
      </c>
      <c r="D197" s="265">
        <v>1.6</v>
      </c>
      <c r="E197" s="265">
        <v>0.15</v>
      </c>
      <c r="F197" s="266">
        <v>6.9</v>
      </c>
      <c r="G197" s="267">
        <v>0.438</v>
      </c>
      <c r="H197" s="135">
        <f t="shared" si="30"/>
        <v>0.24</v>
      </c>
      <c r="I197" s="135">
        <f t="shared" si="31"/>
        <v>1</v>
      </c>
      <c r="J197" s="135">
        <f t="shared" si="32"/>
        <v>1</v>
      </c>
      <c r="K197" s="136">
        <f t="shared" si="33"/>
        <v>1</v>
      </c>
      <c r="L197" s="137">
        <f t="shared" si="34"/>
        <v>0.24</v>
      </c>
      <c r="M197" s="138"/>
      <c r="N197" s="139"/>
      <c r="O197" s="140"/>
      <c r="P197" s="141"/>
      <c r="Q197" s="142"/>
      <c r="R197" s="143"/>
      <c r="S197" s="143"/>
      <c r="T197" s="144"/>
      <c r="U197" s="145"/>
    </row>
    <row r="198" ht="15.75" customHeight="1">
      <c r="A198" s="129"/>
      <c r="B198" s="146">
        <v>1.0</v>
      </c>
      <c r="C198" s="147"/>
      <c r="D198" s="148"/>
      <c r="E198" s="148"/>
      <c r="F198" s="149"/>
      <c r="G198" s="150"/>
      <c r="H198" s="135"/>
      <c r="I198" s="135"/>
      <c r="J198" s="135"/>
      <c r="K198" s="136"/>
      <c r="L198" s="137"/>
      <c r="M198" s="151" t="s">
        <v>141</v>
      </c>
      <c r="N198" s="137">
        <f>SUM(L196:L197)</f>
        <v>0.435</v>
      </c>
      <c r="O198" s="140">
        <f>O27</f>
        <v>7.03</v>
      </c>
      <c r="P198" s="141">
        <f>N198/O198</f>
        <v>0.06187766714</v>
      </c>
      <c r="Q198" s="142">
        <f>P198/$I$246</f>
        <v>2.157155143</v>
      </c>
      <c r="R198" s="143">
        <f>IF(D$183="Légère",IF($M198="Exterieur",VLOOKUP(D$179,Reference!$B$37:$Y$42,13,0),VLOOKUP(D$179,Reference!$B$37:$Y$42,15,0)),IF(P$185&gt;3,IF($M198="Exterieur",VLOOKUP(D$179,Reference!$B$37:$Y$42,21,0),VLOOKUP(D$179,Reference!$B$37:$Y$42,23,0)),IF($M198="Exterieur",VLOOKUP(D$179,Reference!$B$37:$Y$42,17,0),VLOOKUP(D$179,Reference!$B$37:$Y$42,19,0))))</f>
        <v>1</v>
      </c>
      <c r="S198" s="143">
        <f>IF(D$183="Légère",IF($M198="Exterieur",VLOOKUP(D$179,Reference!$B$37:$Y$42,14,0),VLOOKUP(D$179,Reference!$B$37:$Y$42,16,0)),IF(P$185&gt;3,IF($M198="Exterieur",VLOOKUP(D$179,Reference!$B$37:$Y$42,22,0),VLOOKUP(D$179,Reference!$B$37:$Y$42,24,0)),IF($M198="Exterieur",VLOOKUP(D$179,Reference!$B$37:$Y$42,18,0),VLOOKUP(D$179,Reference!$B$37:$Y$42,20,0))))</f>
        <v>3</v>
      </c>
      <c r="T198" s="144">
        <f>R198/Q198</f>
        <v>0.4635735187</v>
      </c>
      <c r="U198" s="145" t="str">
        <f>if(and(Q198&gt;=R198,Q198&lt;=S198),"OK","NG")</f>
        <v>OK</v>
      </c>
    </row>
    <row r="199" ht="15.75" customHeight="1">
      <c r="A199" s="129"/>
      <c r="B199" s="130">
        <v>2.0</v>
      </c>
      <c r="C199" s="131">
        <v>45689.0</v>
      </c>
      <c r="D199" s="265">
        <v>1.9</v>
      </c>
      <c r="E199" s="265">
        <v>0.15</v>
      </c>
      <c r="F199" s="266">
        <v>6.9</v>
      </c>
      <c r="G199" s="267">
        <v>0.438</v>
      </c>
      <c r="H199" s="135">
        <f>D199*0.15</f>
        <v>0.285</v>
      </c>
      <c r="I199" s="135">
        <f>G199*E199/$I$229/0.15</f>
        <v>1</v>
      </c>
      <c r="J199" s="135">
        <f>sqrt(F199/6.9)</f>
        <v>1</v>
      </c>
      <c r="K199" s="136">
        <f>I199*J199</f>
        <v>1</v>
      </c>
      <c r="L199" s="137">
        <f>H199*K199</f>
        <v>0.285</v>
      </c>
      <c r="M199" s="138"/>
      <c r="N199" s="139"/>
      <c r="O199" s="140"/>
      <c r="P199" s="153"/>
      <c r="Q199" s="142"/>
      <c r="R199" s="143"/>
      <c r="S199" s="143"/>
      <c r="T199" s="144"/>
      <c r="U199" s="145"/>
    </row>
    <row r="200" ht="15.75" customHeight="1">
      <c r="A200" s="129"/>
      <c r="B200" s="146">
        <v>2.0</v>
      </c>
      <c r="C200" s="147"/>
      <c r="D200" s="148"/>
      <c r="E200" s="148"/>
      <c r="F200" s="149"/>
      <c r="G200" s="150"/>
      <c r="H200" s="135"/>
      <c r="I200" s="135"/>
      <c r="J200" s="135"/>
      <c r="K200" s="136"/>
      <c r="L200" s="137"/>
      <c r="M200" s="151" t="s">
        <v>158</v>
      </c>
      <c r="N200" s="137">
        <f>L199</f>
        <v>0.285</v>
      </c>
      <c r="O200" s="140">
        <f>O29</f>
        <v>13.32</v>
      </c>
      <c r="P200" s="141">
        <f>N200/O200</f>
        <v>0.0213963964</v>
      </c>
      <c r="Q200" s="142">
        <f>P200/$I$246</f>
        <v>0.7459128416</v>
      </c>
      <c r="R200" s="143">
        <f>IF(D$183="Légère",IF($M200="Exterieur",VLOOKUP(D$179,Reference!$B$37:$Y$42,13,0),VLOOKUP(D$179,Reference!$B$37:$Y$42,15,0)),IF(P$185&gt;3,IF($M200="Exterieur",VLOOKUP(D$179,Reference!$B$37:$Y$42,21,0),VLOOKUP(D$179,Reference!$B$37:$Y$42,23,0)),IF($M200="Exterieur",VLOOKUP(D$179,Reference!$B$37:$Y$42,17,0),VLOOKUP(D$179,Reference!$B$37:$Y$42,19,0))))</f>
        <v>0.67</v>
      </c>
      <c r="S200" s="143">
        <f>IF(D$183="Légère",IF($M200="Exterieur",VLOOKUP(D$179,Reference!$B$37:$Y$42,14,0),VLOOKUP(D$179,Reference!$B$37:$Y$42,16,0)),IF(P$185&gt;3,IF($M200="Exterieur",VLOOKUP(D$179,Reference!$B$37:$Y$42,22,0),VLOOKUP(D$179,Reference!$B$37:$Y$42,24,0)),IF($M200="Exterieur",VLOOKUP(D$179,Reference!$B$37:$Y$42,18,0),VLOOKUP(D$179,Reference!$B$37:$Y$42,20,0))))</f>
        <v>2</v>
      </c>
      <c r="T200" s="144">
        <f>R200/Q200</f>
        <v>0.8982282683</v>
      </c>
      <c r="U200" s="145" t="str">
        <f>if(and(Q200&gt;=R200,Q200&lt;=S200),"OK","NG")</f>
        <v>OK</v>
      </c>
    </row>
    <row r="201" ht="15.75" customHeight="1">
      <c r="A201" s="129"/>
      <c r="B201" s="130">
        <v>3.0</v>
      </c>
      <c r="C201" s="131">
        <v>45717.0</v>
      </c>
      <c r="D201" s="265">
        <v>1.9</v>
      </c>
      <c r="E201" s="265">
        <v>0.15</v>
      </c>
      <c r="F201" s="266">
        <v>6.9</v>
      </c>
      <c r="G201" s="267">
        <v>0.438</v>
      </c>
      <c r="H201" s="135">
        <f>D201*0.15</f>
        <v>0.285</v>
      </c>
      <c r="I201" s="135">
        <f>G201*E201/$I$229/0.15</f>
        <v>1</v>
      </c>
      <c r="J201" s="135">
        <f>sqrt(F201/6.9)</f>
        <v>1</v>
      </c>
      <c r="K201" s="136">
        <f>I201*J201</f>
        <v>1</v>
      </c>
      <c r="L201" s="137">
        <f>H201*K201</f>
        <v>0.285</v>
      </c>
      <c r="M201" s="138"/>
      <c r="N201" s="139"/>
      <c r="O201" s="140"/>
      <c r="P201" s="153"/>
      <c r="Q201" s="142"/>
      <c r="R201" s="143"/>
      <c r="S201" s="143"/>
      <c r="T201" s="144"/>
      <c r="U201" s="145"/>
    </row>
    <row r="202" ht="15.75" customHeight="1">
      <c r="A202" s="129"/>
      <c r="B202" s="146">
        <v>3.0</v>
      </c>
      <c r="C202" s="147"/>
      <c r="D202" s="148"/>
      <c r="E202" s="148"/>
      <c r="F202" s="149"/>
      <c r="G202" s="150"/>
      <c r="H202" s="135"/>
      <c r="I202" s="135"/>
      <c r="J202" s="135"/>
      <c r="K202" s="136"/>
      <c r="L202" s="137"/>
      <c r="M202" s="151" t="s">
        <v>158</v>
      </c>
      <c r="N202" s="137">
        <f>SUM(L201)</f>
        <v>0.285</v>
      </c>
      <c r="O202" s="140">
        <f>O31</f>
        <v>13.32</v>
      </c>
      <c r="P202" s="141">
        <f>N202/O202</f>
        <v>0.0213963964</v>
      </c>
      <c r="Q202" s="142">
        <f>P202/$I$246</f>
        <v>0.7459128416</v>
      </c>
      <c r="R202" s="143">
        <f>IF(D$183="Légère",IF($M202="Exterieur",VLOOKUP(D$179,Reference!$B$37:$Y$42,13,0),VLOOKUP(D$179,Reference!$B$37:$Y$42,15,0)),IF(P$185&gt;3,IF($M202="Exterieur",VLOOKUP(D$179,Reference!$B$37:$Y$42,21,0),VLOOKUP(D$179,Reference!$B$37:$Y$42,23,0)),IF($M202="Exterieur",VLOOKUP(D$179,Reference!$B$37:$Y$42,17,0),VLOOKUP(D$179,Reference!$B$37:$Y$42,19,0))))</f>
        <v>0.67</v>
      </c>
      <c r="S202" s="143">
        <f>IF(D$183="Légère",IF($M202="Exterieur",VLOOKUP(D$179,Reference!$B$37:$Y$42,14,0),VLOOKUP(D$179,Reference!$B$37:$Y$42,16,0)),IF(P$185&gt;3,IF($M202="Exterieur",VLOOKUP(D$179,Reference!$B$37:$Y$42,22,0),VLOOKUP(D$179,Reference!$B$37:$Y$42,24,0)),IF($M202="Exterieur",VLOOKUP(D$179,Reference!$B$37:$Y$42,18,0),VLOOKUP(D$179,Reference!$B$37:$Y$42,20,0))))</f>
        <v>2</v>
      </c>
      <c r="T202" s="144">
        <f>R202/Q202</f>
        <v>0.8982282683</v>
      </c>
      <c r="U202" s="145" t="str">
        <f>if(and(Q202&gt;=R202,Q202&lt;=S202),"OK","NG")</f>
        <v>OK</v>
      </c>
    </row>
    <row r="203" ht="15.75" customHeight="1">
      <c r="A203" s="129"/>
      <c r="B203" s="130">
        <v>4.0</v>
      </c>
      <c r="C203" s="131">
        <v>45748.0</v>
      </c>
      <c r="D203" s="265">
        <v>1.9</v>
      </c>
      <c r="E203" s="265">
        <v>0.15</v>
      </c>
      <c r="F203" s="266">
        <v>6.9</v>
      </c>
      <c r="G203" s="267">
        <v>0.438</v>
      </c>
      <c r="H203" s="135">
        <f>D203*0.15</f>
        <v>0.285</v>
      </c>
      <c r="I203" s="135">
        <f>G203*E203/$I$229/0.15</f>
        <v>1</v>
      </c>
      <c r="J203" s="135">
        <f>sqrt(F203/6.9)</f>
        <v>1</v>
      </c>
      <c r="K203" s="136">
        <f>I203*J203</f>
        <v>1</v>
      </c>
      <c r="L203" s="137">
        <f>H203*K203</f>
        <v>0.285</v>
      </c>
      <c r="M203" s="138"/>
      <c r="N203" s="139"/>
      <c r="O203" s="140"/>
      <c r="P203" s="153"/>
      <c r="Q203" s="142"/>
      <c r="R203" s="143"/>
      <c r="S203" s="143"/>
      <c r="T203" s="144"/>
      <c r="U203" s="145"/>
    </row>
    <row r="204" ht="15.75" customHeight="1">
      <c r="A204" s="129"/>
      <c r="B204" s="146">
        <v>4.0</v>
      </c>
      <c r="C204" s="147"/>
      <c r="D204" s="148"/>
      <c r="E204" s="148"/>
      <c r="F204" s="149"/>
      <c r="G204" s="150"/>
      <c r="H204" s="135"/>
      <c r="I204" s="135"/>
      <c r="J204" s="135"/>
      <c r="K204" s="136"/>
      <c r="L204" s="137"/>
      <c r="M204" s="151" t="s">
        <v>158</v>
      </c>
      <c r="N204" s="137">
        <f>SUM(L203)</f>
        <v>0.285</v>
      </c>
      <c r="O204" s="140">
        <f>O33</f>
        <v>13.32</v>
      </c>
      <c r="P204" s="141">
        <f>N204/O204</f>
        <v>0.0213963964</v>
      </c>
      <c r="Q204" s="142">
        <f>P204/$I$246</f>
        <v>0.7459128416</v>
      </c>
      <c r="R204" s="143">
        <f>IF(D$183="Légère",IF($M204="Exterieur",VLOOKUP(D$179,Reference!$B$37:$Y$42,13,0),VLOOKUP(D$179,Reference!$B$37:$Y$42,15,0)),IF(P$185&gt;3,IF($M204="Exterieur",VLOOKUP(D$179,Reference!$B$37:$Y$42,21,0),VLOOKUP(D$179,Reference!$B$37:$Y$42,23,0)),IF($M204="Exterieur",VLOOKUP(D$179,Reference!$B$37:$Y$42,17,0),VLOOKUP(D$179,Reference!$B$37:$Y$42,19,0))))</f>
        <v>0.67</v>
      </c>
      <c r="S204" s="143">
        <f>IF(D$183="Légère",IF($M204="Exterieur",VLOOKUP(D$179,Reference!$B$37:$Y$42,14,0),VLOOKUP(D$179,Reference!$B$37:$Y$42,16,0)),IF(P$185&gt;3,IF($M204="Exterieur",VLOOKUP(D$179,Reference!$B$37:$Y$42,22,0),VLOOKUP(D$179,Reference!$B$37:$Y$42,24,0)),IF($M204="Exterieur",VLOOKUP(D$179,Reference!$B$37:$Y$42,18,0),VLOOKUP(D$179,Reference!$B$37:$Y$42,20,0))))</f>
        <v>2</v>
      </c>
      <c r="T204" s="144">
        <f>R204/Q204</f>
        <v>0.8982282683</v>
      </c>
      <c r="U204" s="145" t="str">
        <f>if(and(Q204&gt;=R204,Q204&lt;=S204),"OK","NG")</f>
        <v>OK</v>
      </c>
    </row>
    <row r="205" ht="15.75" customHeight="1">
      <c r="A205" s="129"/>
      <c r="B205" s="130">
        <v>5.0</v>
      </c>
      <c r="C205" s="131">
        <v>45778.0</v>
      </c>
      <c r="D205" s="132">
        <v>1.25</v>
      </c>
      <c r="E205" s="265">
        <v>0.15</v>
      </c>
      <c r="F205" s="266">
        <v>6.9</v>
      </c>
      <c r="G205" s="267">
        <v>0.438</v>
      </c>
      <c r="H205" s="135">
        <f t="shared" ref="H205:H206" si="35">D205*0.15</f>
        <v>0.1875</v>
      </c>
      <c r="I205" s="135">
        <f t="shared" ref="I205:I206" si="36">G205*E205/$I$229/0.15</f>
        <v>1</v>
      </c>
      <c r="J205" s="135">
        <f t="shared" ref="J205:J206" si="37">sqrt(F205/6.9)</f>
        <v>1</v>
      </c>
      <c r="K205" s="136">
        <f t="shared" ref="K205:K206" si="38">I205*J205</f>
        <v>1</v>
      </c>
      <c r="L205" s="137">
        <f t="shared" ref="L205:L206" si="39">H205*K205</f>
        <v>0.1875</v>
      </c>
      <c r="M205" s="138"/>
      <c r="N205" s="139"/>
      <c r="O205" s="140"/>
      <c r="P205" s="153"/>
      <c r="Q205" s="142"/>
      <c r="R205" s="143"/>
      <c r="S205" s="143"/>
      <c r="T205" s="144"/>
      <c r="U205" s="145"/>
    </row>
    <row r="206" ht="15.75" customHeight="1">
      <c r="A206" s="129"/>
      <c r="B206" s="130">
        <v>5.0</v>
      </c>
      <c r="C206" s="131">
        <v>45779.0</v>
      </c>
      <c r="D206" s="132">
        <v>1.25</v>
      </c>
      <c r="E206" s="265">
        <v>0.15</v>
      </c>
      <c r="F206" s="266">
        <v>6.9</v>
      </c>
      <c r="G206" s="267">
        <v>0.438</v>
      </c>
      <c r="H206" s="135">
        <f t="shared" si="35"/>
        <v>0.1875</v>
      </c>
      <c r="I206" s="135">
        <f t="shared" si="36"/>
        <v>1</v>
      </c>
      <c r="J206" s="135">
        <f t="shared" si="37"/>
        <v>1</v>
      </c>
      <c r="K206" s="136">
        <f t="shared" si="38"/>
        <v>1</v>
      </c>
      <c r="L206" s="137">
        <f t="shared" si="39"/>
        <v>0.1875</v>
      </c>
      <c r="M206" s="138"/>
      <c r="N206" s="139"/>
      <c r="O206" s="140"/>
      <c r="P206" s="153"/>
      <c r="Q206" s="142"/>
      <c r="R206" s="143"/>
      <c r="S206" s="143"/>
      <c r="T206" s="144"/>
      <c r="U206" s="145"/>
    </row>
    <row r="207" ht="15.75" customHeight="1">
      <c r="A207" s="129"/>
      <c r="B207" s="268">
        <v>5.0</v>
      </c>
      <c r="C207" s="269"/>
      <c r="D207" s="152"/>
      <c r="E207" s="152"/>
      <c r="F207" s="270"/>
      <c r="G207" s="271"/>
      <c r="H207" s="135"/>
      <c r="I207" s="135"/>
      <c r="J207" s="155"/>
      <c r="K207" s="136"/>
      <c r="L207" s="137"/>
      <c r="M207" s="151" t="s">
        <v>141</v>
      </c>
      <c r="N207" s="137">
        <f>SUM(L205:L206)</f>
        <v>0.375</v>
      </c>
      <c r="O207" s="140">
        <f>O36</f>
        <v>7.03</v>
      </c>
      <c r="P207" s="141">
        <f>N207/O207</f>
        <v>0.0533428165</v>
      </c>
      <c r="Q207" s="142">
        <f>P207/$I$246</f>
        <v>1.859616502</v>
      </c>
      <c r="R207" s="143">
        <f>IF(D$183="Légère",IF($M207="Exterieur",VLOOKUP(D$179,Reference!$B$37:$Y$42,13,0),VLOOKUP(D$179,Reference!$B$37:$Y$42,15,0)),IF(P$185&gt;3,IF($M207="Exterieur",VLOOKUP(D$179,Reference!$B$37:$Y$42,21,0),VLOOKUP(D$179,Reference!$B$37:$Y$42,23,0)),IF($M207="Exterieur",VLOOKUP(D$179,Reference!$B$37:$Y$42,17,0),VLOOKUP(D$179,Reference!$B$37:$Y$42,19,0))))</f>
        <v>1</v>
      </c>
      <c r="S207" s="143">
        <f>IF(D$183="Légère",IF($M207="Exterieur",VLOOKUP(D$179,Reference!$B$37:$Y$42,14,0),VLOOKUP(D$179,Reference!$B$37:$Y$42,16,0)),IF(P$185&gt;3,IF($M207="Exterieur",VLOOKUP(D$179,Reference!$B$37:$Y$42,22,0),VLOOKUP(D$179,Reference!$B$37:$Y$42,24,0)),IF($M207="Exterieur",VLOOKUP(D$179,Reference!$B$37:$Y$42,18,0),VLOOKUP(D$179,Reference!$B$37:$Y$42,20,0))))</f>
        <v>3</v>
      </c>
      <c r="T207" s="144">
        <f>R207/Q207</f>
        <v>0.5377452817</v>
      </c>
      <c r="U207" s="145" t="str">
        <f>if(and(Q207&gt;=R207,Q207&lt;=S207),"OK","NG")</f>
        <v>OK</v>
      </c>
    </row>
    <row r="208" ht="15.75" customHeight="1">
      <c r="A208" s="129"/>
      <c r="B208" s="156"/>
      <c r="C208" s="157"/>
      <c r="D208" s="158"/>
      <c r="E208" s="158"/>
      <c r="F208" s="159"/>
      <c r="G208" s="160"/>
      <c r="H208" s="161"/>
      <c r="I208" s="161"/>
      <c r="J208" s="162"/>
      <c r="K208" s="163"/>
      <c r="L208" s="164"/>
      <c r="M208" s="165"/>
      <c r="N208" s="166"/>
      <c r="O208" s="167"/>
      <c r="P208" s="168"/>
      <c r="Q208" s="169"/>
      <c r="R208" s="170"/>
      <c r="S208" s="170"/>
      <c r="T208" s="171"/>
      <c r="U208" s="128"/>
    </row>
    <row r="209" ht="15.75" customHeight="1">
      <c r="B209" s="172" t="s">
        <v>159</v>
      </c>
      <c r="C209" s="173"/>
      <c r="D209" s="173"/>
      <c r="E209" s="173"/>
      <c r="F209" s="173"/>
      <c r="G209" s="173"/>
      <c r="H209" s="263"/>
      <c r="I209" s="175"/>
      <c r="J209" s="272"/>
      <c r="K209" s="176" t="s">
        <v>160</v>
      </c>
      <c r="L209" s="177">
        <f>SUM(L196:L208)</f>
        <v>1.665</v>
      </c>
      <c r="M209" s="178" t="s">
        <v>161</v>
      </c>
      <c r="N209" s="177">
        <f t="shared" ref="N209:O209" si="40">SUM(N196:N208)</f>
        <v>1.665</v>
      </c>
      <c r="O209" s="179">
        <f t="shared" si="40"/>
        <v>54.02</v>
      </c>
      <c r="P209" s="180">
        <f>N209/O209</f>
        <v>0.03082191781</v>
      </c>
      <c r="Q209" s="169">
        <f>P209/$I$75</f>
        <v>0.5389700525</v>
      </c>
      <c r="R209" s="181">
        <v>1.0</v>
      </c>
      <c r="S209" s="182" t="s">
        <v>162</v>
      </c>
      <c r="T209" s="183">
        <f>max(T196:T208)</f>
        <v>0.8982282683</v>
      </c>
      <c r="U209" s="128" t="str">
        <f>if(COUNTIF(U196:U208, "NG")&gt;0,"NG",if(P209&gt;=I246,"OK","NG"))</f>
        <v>OK</v>
      </c>
    </row>
    <row r="210" ht="15.75" customHeight="1">
      <c r="B210" s="184"/>
      <c r="C210" s="184"/>
      <c r="D210" s="184"/>
      <c r="E210" s="184"/>
      <c r="F210" s="184"/>
      <c r="G210" s="185"/>
      <c r="H210" s="185"/>
      <c r="I210" s="186"/>
      <c r="J210" s="187"/>
      <c r="K210" s="70" t="s">
        <v>163</v>
      </c>
      <c r="L210" s="188">
        <f>IF(ISERROR(L209/$R$186),"",L209/$R$186)</f>
        <v>0.03082191781</v>
      </c>
      <c r="M210" s="189" t="s">
        <v>164</v>
      </c>
      <c r="N210" s="186"/>
      <c r="O210" s="190">
        <f>R186</f>
        <v>54.02</v>
      </c>
      <c r="P210" s="191">
        <f>L210</f>
        <v>0.03082191781</v>
      </c>
      <c r="Q210" s="185" t="s">
        <v>165</v>
      </c>
      <c r="R210" s="68"/>
      <c r="S210" s="68"/>
      <c r="T210" s="68"/>
      <c r="U210" s="68"/>
    </row>
    <row r="211" ht="15.75" customHeight="1">
      <c r="B211" s="184"/>
      <c r="C211" s="184"/>
      <c r="D211" s="184"/>
      <c r="E211" s="184"/>
      <c r="F211" s="184"/>
      <c r="G211" s="185"/>
      <c r="H211" s="185"/>
      <c r="I211" s="186"/>
      <c r="J211" s="187"/>
      <c r="K211" s="77" t="s">
        <v>166</v>
      </c>
      <c r="L211" s="192">
        <f>I246</f>
        <v>0.02868484789</v>
      </c>
      <c r="M211" s="71" t="s">
        <v>167</v>
      </c>
      <c r="N211" s="68"/>
      <c r="O211" s="97">
        <f>I248</f>
        <v>0.9306639536</v>
      </c>
      <c r="P211" s="68"/>
      <c r="Q211" s="68"/>
      <c r="R211" s="68"/>
      <c r="S211" s="68"/>
      <c r="T211" s="68"/>
      <c r="U211" s="68"/>
    </row>
    <row r="212" ht="30.75" customHeight="1">
      <c r="B212" s="193"/>
      <c r="C212" s="193"/>
      <c r="D212" s="193"/>
      <c r="E212" s="193"/>
      <c r="F212" s="193"/>
      <c r="G212" s="194"/>
      <c r="H212" s="194"/>
      <c r="I212" s="195"/>
      <c r="J212" s="195"/>
      <c r="K212" s="195"/>
      <c r="L212" s="197"/>
      <c r="M212" s="90"/>
      <c r="N212" s="129"/>
      <c r="O212" s="26"/>
      <c r="Q212" s="198"/>
    </row>
    <row r="213" ht="15.75" customHeight="1">
      <c r="B213" s="193"/>
      <c r="C213" s="193"/>
      <c r="D213" s="193"/>
      <c r="E213" s="193"/>
      <c r="F213" s="193"/>
      <c r="G213" s="194"/>
      <c r="H213" s="194"/>
      <c r="I213" s="195"/>
      <c r="J213" s="195"/>
      <c r="K213" s="195"/>
      <c r="L213" s="197"/>
      <c r="M213" s="90"/>
      <c r="N213" s="129"/>
      <c r="O213" s="26"/>
      <c r="Q213" s="198"/>
    </row>
    <row r="214" ht="20.25" customHeight="1">
      <c r="B214" s="193"/>
      <c r="C214" s="193"/>
      <c r="D214" s="193"/>
      <c r="E214" s="193"/>
      <c r="F214" s="193"/>
      <c r="G214" s="194"/>
      <c r="H214" s="194"/>
      <c r="I214" s="195"/>
      <c r="J214" s="195"/>
      <c r="K214" s="195"/>
      <c r="L214" s="197"/>
      <c r="M214" s="90"/>
      <c r="N214" s="129"/>
      <c r="O214" s="26"/>
      <c r="Q214" s="198"/>
    </row>
    <row r="215" ht="15.75" customHeight="1">
      <c r="A215" s="47"/>
      <c r="B215" s="43"/>
      <c r="C215" s="44"/>
      <c r="D215" s="43"/>
      <c r="E215" s="43"/>
      <c r="F215" s="43"/>
      <c r="G215" s="43"/>
      <c r="H215" s="43"/>
      <c r="I215" s="43"/>
      <c r="J215" s="43"/>
      <c r="K215" s="43"/>
      <c r="L215" s="43"/>
      <c r="M215" s="43"/>
      <c r="N215" s="43"/>
      <c r="O215" s="45"/>
      <c r="P215" s="43"/>
      <c r="Q215" s="47"/>
      <c r="R215" s="46"/>
      <c r="S215" s="47"/>
    </row>
    <row r="216" ht="15.75" customHeight="1">
      <c r="A216" s="47"/>
      <c r="B216" s="49" t="s">
        <v>75</v>
      </c>
      <c r="C216" s="50"/>
      <c r="D216" s="51"/>
      <c r="E216" s="51"/>
      <c r="F216" s="51"/>
      <c r="G216" s="51"/>
      <c r="H216" s="51"/>
      <c r="I216" s="51"/>
      <c r="J216" s="51"/>
      <c r="K216" s="51"/>
      <c r="L216" s="51"/>
      <c r="M216" s="51"/>
      <c r="N216" s="52" t="s">
        <v>76</v>
      </c>
      <c r="O216" s="52"/>
      <c r="P216" s="51"/>
      <c r="Q216" s="51"/>
      <c r="R216" s="53"/>
      <c r="S216" s="54"/>
    </row>
    <row r="217" ht="15.75" customHeight="1">
      <c r="A217" s="47"/>
      <c r="B217" s="49" t="s">
        <v>77</v>
      </c>
      <c r="C217" s="55" t="s">
        <v>78</v>
      </c>
      <c r="D217" s="56"/>
      <c r="E217" s="51"/>
      <c r="F217" s="51"/>
      <c r="G217" s="51"/>
      <c r="H217" s="51"/>
      <c r="I217" s="51"/>
      <c r="J217" s="51"/>
      <c r="K217" s="51"/>
      <c r="L217" s="51"/>
      <c r="M217" s="51"/>
      <c r="N217" s="57" t="s">
        <v>79</v>
      </c>
      <c r="O217" s="57"/>
      <c r="P217" s="51"/>
      <c r="Q217" s="51"/>
      <c r="R217" s="53"/>
      <c r="S217" s="54"/>
    </row>
    <row r="218" ht="15.75" customHeight="1">
      <c r="A218" s="47"/>
      <c r="B218" s="51"/>
      <c r="C218" s="52"/>
      <c r="D218" s="56"/>
      <c r="E218" s="51"/>
      <c r="F218" s="51"/>
      <c r="G218" s="51"/>
      <c r="H218" s="51"/>
      <c r="I218" s="51"/>
      <c r="J218" s="51"/>
      <c r="K218" s="51"/>
      <c r="L218" s="51"/>
      <c r="M218" s="51"/>
      <c r="N218" s="57" t="s">
        <v>80</v>
      </c>
      <c r="O218" s="57"/>
      <c r="P218" s="51"/>
      <c r="Q218" s="51"/>
      <c r="R218" s="53"/>
      <c r="S218" s="54"/>
    </row>
    <row r="219" ht="15.75" customHeight="1">
      <c r="A219" s="33"/>
      <c r="B219" s="33"/>
      <c r="C219" s="46"/>
      <c r="D219" s="33"/>
      <c r="E219" s="33"/>
      <c r="F219" s="33"/>
      <c r="G219" s="33"/>
      <c r="H219" s="33"/>
      <c r="I219" s="33"/>
      <c r="J219" s="33"/>
      <c r="K219" s="33"/>
      <c r="L219" s="33"/>
      <c r="M219" s="33"/>
      <c r="N219" s="33"/>
      <c r="O219" s="33"/>
      <c r="P219" s="33"/>
      <c r="Q219" s="33"/>
      <c r="R219" s="46"/>
      <c r="S219" s="33"/>
    </row>
    <row r="220" ht="30.75" customHeight="1">
      <c r="K220" s="98" t="s">
        <v>234</v>
      </c>
      <c r="O220" s="199"/>
      <c r="P220" s="199"/>
      <c r="R220" s="199"/>
      <c r="S220" s="199"/>
    </row>
    <row r="221" ht="15.75" customHeight="1">
      <c r="O221" s="199"/>
      <c r="P221" s="199"/>
      <c r="R221" s="199"/>
      <c r="S221" s="199"/>
    </row>
    <row r="222" ht="21.0" customHeight="1">
      <c r="A222" s="200"/>
      <c r="B222" s="201" t="s">
        <v>168</v>
      </c>
      <c r="C222" s="201"/>
      <c r="D222" s="202"/>
      <c r="E222" s="202"/>
      <c r="F222" s="202"/>
      <c r="G222" s="203"/>
      <c r="H222" s="203"/>
      <c r="I222" s="204"/>
      <c r="J222" s="199"/>
      <c r="K222" s="199"/>
      <c r="L222" s="205"/>
      <c r="O222" s="199"/>
      <c r="P222" s="199"/>
      <c r="Q222" s="199"/>
      <c r="R222" s="199"/>
      <c r="T222" s="206"/>
      <c r="U222" s="206"/>
    </row>
    <row r="223" ht="15.75" customHeight="1">
      <c r="B223" s="33"/>
      <c r="C223" s="199"/>
      <c r="D223" s="199"/>
      <c r="E223" s="207"/>
      <c r="F223" s="207"/>
      <c r="G223" s="213"/>
      <c r="H223" s="213"/>
      <c r="I223" s="264"/>
      <c r="J223" s="207"/>
      <c r="K223" s="207"/>
      <c r="L223" s="207"/>
      <c r="M223" s="207"/>
      <c r="N223" s="207"/>
      <c r="O223" s="207"/>
      <c r="P223" s="207"/>
      <c r="Q223" s="199"/>
      <c r="R223" s="199"/>
      <c r="T223" s="206"/>
      <c r="U223" s="206"/>
    </row>
    <row r="224" ht="20.25" customHeight="1">
      <c r="B224" s="212" t="s">
        <v>169</v>
      </c>
      <c r="C224" s="199"/>
      <c r="D224" s="199"/>
      <c r="E224" s="207"/>
      <c r="F224" s="207"/>
      <c r="G224" s="208"/>
      <c r="H224" s="208" t="s">
        <v>170</v>
      </c>
      <c r="I224" s="209">
        <f>D189</f>
        <v>1.3992</v>
      </c>
      <c r="J224" s="210" t="s">
        <v>171</v>
      </c>
      <c r="K224" s="211"/>
      <c r="L224" s="211"/>
      <c r="M224" s="207"/>
      <c r="N224" s="207"/>
      <c r="O224" s="207"/>
      <c r="P224" s="207"/>
      <c r="Q224" s="199"/>
      <c r="R224" s="199"/>
      <c r="T224" s="206"/>
      <c r="U224" s="206"/>
    </row>
    <row r="225" ht="15.75" customHeight="1">
      <c r="B225" s="33"/>
      <c r="C225" s="199"/>
      <c r="D225" s="199"/>
      <c r="E225" s="207"/>
      <c r="F225" s="207"/>
      <c r="G225" s="213"/>
      <c r="H225" s="208" t="s">
        <v>172</v>
      </c>
      <c r="I225" s="209">
        <f>if($D$183="Lourde",lookup($D$179,Reference!$B$37:$B$42,Reference!$I$37:$I$42),lookup($D$179,Reference!$B$37:$B$42,Reference!$J$37:$J$42))</f>
        <v>0.94</v>
      </c>
      <c r="J225" s="210" t="s">
        <v>173</v>
      </c>
      <c r="K225" s="207"/>
      <c r="L225" s="207"/>
      <c r="M225" s="207"/>
      <c r="N225" s="207"/>
      <c r="O225" s="207"/>
      <c r="P225" s="207"/>
      <c r="Q225" s="199"/>
      <c r="R225" s="199"/>
      <c r="T225" s="206"/>
      <c r="U225" s="206"/>
      <c r="V225" s="206"/>
    </row>
    <row r="226" ht="15.75" customHeight="1">
      <c r="B226" s="33"/>
      <c r="C226" s="199"/>
      <c r="D226" s="199"/>
      <c r="E226" s="207"/>
      <c r="F226" s="207"/>
      <c r="G226" s="213"/>
      <c r="H226" s="208" t="s">
        <v>174</v>
      </c>
      <c r="I226" s="209">
        <f>if($D$183="Lourde",lookup($D$179,Reference!$B$37:$B$42,Reference!$G$37:$G$42),lookup($D$179,Reference!$B$37:$B$42,Reference!$H$37:$H$42))</f>
        <v>0.44</v>
      </c>
      <c r="J226" s="210" t="s">
        <v>175</v>
      </c>
      <c r="K226" s="207"/>
      <c r="L226" s="207"/>
      <c r="M226" s="207"/>
      <c r="N226" s="207"/>
      <c r="O226" s="207"/>
      <c r="P226" s="207"/>
      <c r="Q226" s="199"/>
      <c r="R226" s="199"/>
      <c r="T226" s="206"/>
      <c r="U226" s="206"/>
      <c r="V226" s="206"/>
    </row>
    <row r="227" ht="15.75" customHeight="1">
      <c r="B227" s="33"/>
      <c r="C227" s="199"/>
      <c r="D227" s="199"/>
      <c r="E227" s="207"/>
      <c r="F227" s="207"/>
      <c r="G227" s="208"/>
      <c r="H227" s="208" t="s">
        <v>176</v>
      </c>
      <c r="I227" s="228">
        <v>1.333</v>
      </c>
      <c r="J227" s="210" t="s">
        <v>177</v>
      </c>
      <c r="K227" s="207"/>
      <c r="L227" s="207"/>
      <c r="M227" s="207"/>
      <c r="N227" s="207"/>
      <c r="O227" s="207"/>
      <c r="P227" s="207"/>
      <c r="Q227" s="199"/>
      <c r="R227" s="199"/>
      <c r="T227" s="206"/>
      <c r="U227" s="206"/>
      <c r="V227" s="206"/>
    </row>
    <row r="228" ht="15.75" customHeight="1">
      <c r="B228" s="33"/>
      <c r="C228" s="199"/>
      <c r="D228" s="199"/>
      <c r="E228" s="207"/>
      <c r="F228" s="207"/>
      <c r="G228" s="208"/>
      <c r="H228" s="208" t="s">
        <v>178</v>
      </c>
      <c r="I228" s="228">
        <f>lookup($D$179,Reference!$B$37:$B$42,Reference!$F$37:$F$42)</f>
        <v>1</v>
      </c>
      <c r="J228" s="210" t="s">
        <v>179</v>
      </c>
      <c r="K228" s="207"/>
      <c r="L228" s="207"/>
      <c r="M228" s="207"/>
      <c r="N228" s="207"/>
      <c r="O228" s="207"/>
      <c r="P228" s="207"/>
      <c r="Q228" s="199"/>
      <c r="R228" s="199"/>
      <c r="T228" s="206"/>
      <c r="U228" s="206"/>
      <c r="V228" s="206"/>
    </row>
    <row r="229" ht="15.75" customHeight="1">
      <c r="B229" s="33"/>
      <c r="C229" s="199"/>
      <c r="D229" s="199"/>
      <c r="E229" s="207"/>
      <c r="F229" s="207"/>
      <c r="G229" s="208"/>
      <c r="H229" s="208" t="s">
        <v>180</v>
      </c>
      <c r="I229" s="216">
        <v>0.438</v>
      </c>
      <c r="J229" s="210" t="s">
        <v>181</v>
      </c>
      <c r="K229" s="207"/>
      <c r="L229" s="207"/>
      <c r="M229" s="207"/>
      <c r="N229" s="207"/>
      <c r="O229" s="207"/>
      <c r="P229" s="207"/>
      <c r="Q229" s="199"/>
      <c r="R229" s="199"/>
      <c r="T229" s="206"/>
      <c r="U229" s="206"/>
      <c r="V229" s="206"/>
    </row>
    <row r="230" ht="15.75" customHeight="1">
      <c r="B230" s="33"/>
      <c r="C230" s="199"/>
      <c r="D230" s="199"/>
      <c r="E230" s="207"/>
      <c r="F230" s="207"/>
      <c r="G230" s="208"/>
      <c r="H230" s="208" t="s">
        <v>182</v>
      </c>
      <c r="I230" s="217">
        <v>7.5735</v>
      </c>
      <c r="J230" s="218" t="s">
        <v>183</v>
      </c>
      <c r="K230" s="219">
        <f>I230*20.885</f>
        <v>158.1725475</v>
      </c>
      <c r="L230" s="211" t="s">
        <v>184</v>
      </c>
      <c r="M230" s="207"/>
      <c r="N230" s="72"/>
      <c r="O230" s="207"/>
      <c r="P230" s="207"/>
      <c r="Q230" s="199"/>
      <c r="R230" s="199"/>
      <c r="T230" s="206"/>
      <c r="U230" s="206"/>
      <c r="V230" s="206"/>
    </row>
    <row r="231" ht="15.75" customHeight="1">
      <c r="B231" s="33"/>
      <c r="C231" s="199"/>
      <c r="D231" s="199"/>
      <c r="E231" s="207"/>
      <c r="F231" s="207"/>
      <c r="G231" s="208"/>
      <c r="H231" s="208" t="s">
        <v>185</v>
      </c>
      <c r="I231" s="220">
        <v>6.9</v>
      </c>
      <c r="J231" s="221" t="s">
        <v>186</v>
      </c>
      <c r="K231" s="222">
        <f>I231*145.038</f>
        <v>1000.7622</v>
      </c>
      <c r="L231" s="223" t="s">
        <v>187</v>
      </c>
      <c r="M231" s="223" t="s">
        <v>231</v>
      </c>
      <c r="N231" s="72"/>
      <c r="O231" s="224"/>
      <c r="P231" s="224"/>
      <c r="Q231" s="33"/>
      <c r="R231" s="199"/>
      <c r="T231" s="206"/>
      <c r="U231" s="206"/>
      <c r="V231" s="206"/>
    </row>
    <row r="232" ht="15.75" customHeight="1">
      <c r="B232" s="33"/>
      <c r="C232" s="199"/>
      <c r="D232" s="199"/>
      <c r="E232" s="207"/>
      <c r="F232" s="207"/>
      <c r="G232" s="208"/>
      <c r="H232" s="208" t="s">
        <v>189</v>
      </c>
      <c r="I232" s="225">
        <f>0.1868*sqrt(I231)*1000</f>
        <v>490.683458</v>
      </c>
      <c r="J232" s="221" t="s">
        <v>183</v>
      </c>
      <c r="K232" s="222">
        <f>2.25*sqrt(K231)</f>
        <v>71.17835793</v>
      </c>
      <c r="L232" s="223" t="s">
        <v>187</v>
      </c>
      <c r="M232" s="223" t="s">
        <v>232</v>
      </c>
      <c r="N232" s="72"/>
      <c r="O232" s="223"/>
      <c r="P232" s="223"/>
      <c r="Q232" s="33"/>
      <c r="R232" s="199"/>
      <c r="T232" s="206"/>
      <c r="U232" s="206"/>
      <c r="V232" s="206"/>
    </row>
    <row r="233" ht="15.75" customHeight="1">
      <c r="E233" s="72"/>
      <c r="F233" s="72"/>
      <c r="G233" s="226"/>
      <c r="H233" s="226" t="s">
        <v>191</v>
      </c>
      <c r="I233" s="220">
        <v>0.8</v>
      </c>
      <c r="J233" s="221"/>
      <c r="K233" s="227"/>
      <c r="L233" s="227"/>
      <c r="M233" s="223" t="s">
        <v>192</v>
      </c>
      <c r="N233" s="72"/>
      <c r="O233" s="72"/>
      <c r="P233" s="72"/>
      <c r="T233" s="206"/>
      <c r="U233" s="206"/>
      <c r="V233" s="206"/>
    </row>
    <row r="234" ht="15.75" customHeight="1">
      <c r="B234" s="33"/>
      <c r="C234" s="199"/>
      <c r="D234" s="199"/>
      <c r="E234" s="207"/>
      <c r="F234" s="207"/>
      <c r="G234" s="208"/>
      <c r="H234" s="208" t="s">
        <v>193</v>
      </c>
      <c r="I234" s="225">
        <f>I232*I233</f>
        <v>392.5467664</v>
      </c>
      <c r="J234" s="218" t="s">
        <v>183</v>
      </c>
      <c r="K234" s="223"/>
      <c r="L234" s="223"/>
      <c r="M234" s="224"/>
      <c r="N234" s="224"/>
      <c r="O234" s="223"/>
      <c r="P234" s="223"/>
      <c r="Q234" s="33"/>
      <c r="R234" s="199"/>
      <c r="T234" s="206"/>
      <c r="U234" s="206"/>
      <c r="V234" s="206"/>
    </row>
    <row r="235" ht="15.75" customHeight="1">
      <c r="B235" s="33"/>
      <c r="C235" s="199"/>
      <c r="D235" s="199"/>
      <c r="E235" s="207"/>
      <c r="F235" s="207"/>
      <c r="G235" s="208"/>
      <c r="H235" s="208" t="s">
        <v>194</v>
      </c>
      <c r="I235" s="228">
        <v>1.5</v>
      </c>
      <c r="J235" s="210" t="s">
        <v>195</v>
      </c>
      <c r="K235" s="207"/>
      <c r="L235" s="207"/>
      <c r="M235" s="207"/>
      <c r="N235" s="207"/>
      <c r="O235" s="207"/>
      <c r="P235" s="207"/>
      <c r="Q235" s="199"/>
      <c r="R235" s="199"/>
      <c r="T235" s="206"/>
      <c r="U235" s="206"/>
      <c r="V235" s="206"/>
    </row>
    <row r="236" ht="15.75" customHeight="1">
      <c r="B236" s="33"/>
      <c r="C236" s="199"/>
      <c r="D236" s="199"/>
      <c r="E236" s="207"/>
      <c r="F236" s="207"/>
      <c r="G236" s="208"/>
      <c r="H236" s="208" t="s">
        <v>196</v>
      </c>
      <c r="I236" s="209">
        <v>3.0</v>
      </c>
      <c r="J236" s="210"/>
      <c r="K236" s="207"/>
      <c r="L236" s="207"/>
      <c r="M236" s="207"/>
      <c r="N236" s="207"/>
      <c r="O236" s="207"/>
      <c r="P236" s="207"/>
      <c r="Q236" s="199"/>
      <c r="R236" s="199"/>
      <c r="T236" s="206"/>
      <c r="U236" s="206"/>
      <c r="V236" s="206"/>
    </row>
    <row r="237" ht="15.75" customHeight="1">
      <c r="C237" s="199"/>
      <c r="D237" s="199"/>
      <c r="E237" s="207"/>
      <c r="F237" s="207"/>
      <c r="G237" s="213"/>
      <c r="H237" s="213"/>
      <c r="I237" s="209"/>
      <c r="J237" s="210"/>
      <c r="K237" s="207"/>
      <c r="L237" s="207"/>
      <c r="M237" s="207"/>
      <c r="N237" s="207"/>
      <c r="O237" s="207"/>
      <c r="P237" s="72"/>
      <c r="T237" s="206"/>
      <c r="U237" s="206"/>
      <c r="V237" s="206"/>
    </row>
    <row r="238" ht="15.75" customHeight="1">
      <c r="B238" s="229" t="s">
        <v>197</v>
      </c>
      <c r="C238" s="199"/>
      <c r="D238" s="230"/>
      <c r="E238" s="231"/>
      <c r="F238" s="231"/>
      <c r="G238" s="231"/>
      <c r="H238" s="231" t="s">
        <v>198</v>
      </c>
      <c r="I238" s="232">
        <f>$D$180*I230*I225*$R$186</f>
        <v>1153.719725</v>
      </c>
      <c r="J238" s="233" t="s">
        <v>199</v>
      </c>
      <c r="K238" s="234" t="s">
        <v>200</v>
      </c>
      <c r="L238" s="72"/>
      <c r="M238" s="207"/>
      <c r="N238" s="207"/>
      <c r="O238" s="207"/>
      <c r="P238" s="72"/>
      <c r="T238" s="206"/>
      <c r="U238" s="206"/>
      <c r="V238" s="206"/>
    </row>
    <row r="239" ht="15.75" customHeight="1">
      <c r="B239" s="32"/>
      <c r="C239" s="199"/>
      <c r="D239" s="230"/>
      <c r="E239" s="231"/>
      <c r="F239" s="231"/>
      <c r="G239" s="231"/>
      <c r="H239" s="231" t="s">
        <v>201</v>
      </c>
      <c r="I239" s="232">
        <f>I238*I224*I226/I236</f>
        <v>236.7617472</v>
      </c>
      <c r="J239" s="233" t="s">
        <v>199</v>
      </c>
      <c r="K239" s="234" t="s">
        <v>233</v>
      </c>
      <c r="L239" s="72"/>
      <c r="M239" s="207"/>
      <c r="N239" s="207"/>
      <c r="O239" s="207"/>
      <c r="P239" s="72"/>
      <c r="T239" s="206"/>
      <c r="U239" s="206"/>
      <c r="V239" s="206"/>
    </row>
    <row r="240" ht="15.75" customHeight="1">
      <c r="B240" s="33"/>
      <c r="C240" s="199"/>
      <c r="D240" s="235"/>
      <c r="E240" s="236"/>
      <c r="F240" s="236"/>
      <c r="G240" s="231"/>
      <c r="H240" s="231" t="s">
        <v>203</v>
      </c>
      <c r="I240" s="232">
        <f>I234*I227*I228/I235</f>
        <v>348.8432264</v>
      </c>
      <c r="J240" s="233" t="s">
        <v>183</v>
      </c>
      <c r="K240" s="234" t="s">
        <v>204</v>
      </c>
      <c r="L240" s="72"/>
      <c r="M240" s="207"/>
      <c r="N240" s="207"/>
      <c r="O240" s="207"/>
      <c r="P240" s="72"/>
      <c r="T240" s="206"/>
      <c r="U240" s="206"/>
      <c r="V240" s="206"/>
    </row>
    <row r="241" ht="15.75" customHeight="1">
      <c r="B241" s="33"/>
      <c r="C241" s="199"/>
      <c r="D241" s="235"/>
      <c r="E241" s="236"/>
      <c r="F241" s="236"/>
      <c r="G241" s="231"/>
      <c r="H241" s="231" t="s">
        <v>205</v>
      </c>
      <c r="I241" s="214">
        <f>I239/I240</f>
        <v>0.6787053015</v>
      </c>
      <c r="J241" s="233" t="s">
        <v>87</v>
      </c>
      <c r="K241" s="234" t="s">
        <v>206</v>
      </c>
      <c r="L241" s="72"/>
      <c r="M241" s="207"/>
      <c r="N241" s="207"/>
      <c r="O241" s="207"/>
      <c r="P241" s="72"/>
      <c r="T241" s="206"/>
      <c r="U241" s="206"/>
      <c r="V241" s="206"/>
    </row>
    <row r="242" ht="15.75" customHeight="1">
      <c r="B242" s="33"/>
      <c r="C242" s="199"/>
      <c r="D242" s="230"/>
      <c r="E242" s="231"/>
      <c r="F242" s="231"/>
      <c r="G242" s="231"/>
      <c r="H242" s="231" t="s">
        <v>207</v>
      </c>
      <c r="I242" s="214">
        <f>I241/$I$229</f>
        <v>1.549555483</v>
      </c>
      <c r="J242" s="233" t="s">
        <v>87</v>
      </c>
      <c r="K242" s="234" t="s">
        <v>208</v>
      </c>
      <c r="L242" s="72"/>
      <c r="M242" s="207"/>
      <c r="N242" s="207"/>
      <c r="O242" s="207"/>
      <c r="P242" s="72"/>
      <c r="T242" s="206"/>
      <c r="U242" s="206"/>
      <c r="V242" s="206"/>
    </row>
    <row r="243" ht="15.75" customHeight="1">
      <c r="B243" s="33"/>
      <c r="C243" s="199"/>
      <c r="D243" s="235"/>
      <c r="E243" s="236"/>
      <c r="F243" s="236"/>
      <c r="G243" s="231"/>
      <c r="H243" s="231" t="s">
        <v>209</v>
      </c>
      <c r="I243" s="237">
        <f>I242/$P$7</f>
        <v>0.02868484789</v>
      </c>
      <c r="J243" s="238"/>
      <c r="K243" s="234" t="s">
        <v>210</v>
      </c>
      <c r="L243" s="72"/>
      <c r="M243" s="207"/>
      <c r="N243" s="207"/>
      <c r="O243" s="207"/>
      <c r="P243" s="207"/>
      <c r="Q243" s="199"/>
      <c r="R243" s="199"/>
      <c r="T243" s="206"/>
      <c r="U243" s="206"/>
      <c r="V243" s="206"/>
    </row>
    <row r="244" ht="15.75" customHeight="1">
      <c r="B244" s="33"/>
      <c r="C244" s="199"/>
      <c r="D244" s="199"/>
      <c r="E244" s="207"/>
      <c r="F244" s="207"/>
      <c r="G244" s="208"/>
      <c r="H244" s="208" t="s">
        <v>211</v>
      </c>
      <c r="I244" s="239">
        <f>I230*$D$9*I225*I224*I226*I235/(I236*I233*I232*I227*I228*I229)</f>
        <v>0.02868484789</v>
      </c>
      <c r="J244" s="240" t="s">
        <v>212</v>
      </c>
      <c r="K244" s="241" t="s">
        <v>213</v>
      </c>
      <c r="L244" s="72"/>
      <c r="M244" s="207"/>
      <c r="N244" s="207"/>
      <c r="O244" s="207"/>
      <c r="P244" s="242"/>
      <c r="Q244" s="199"/>
      <c r="R244" s="199"/>
      <c r="T244" s="206"/>
      <c r="U244" s="206"/>
      <c r="V244" s="206"/>
    </row>
    <row r="245" ht="15.75" customHeight="1">
      <c r="B245" s="33"/>
      <c r="C245" s="199"/>
      <c r="D245" s="199"/>
      <c r="E245" s="207"/>
      <c r="F245" s="207"/>
      <c r="G245" s="213"/>
      <c r="H245" s="208" t="s">
        <v>214</v>
      </c>
      <c r="I245" s="239">
        <f>MAX(0.01,0.0075*I224)*(1.33/$I$227)</f>
        <v>0.0104703826</v>
      </c>
      <c r="J245" s="210" t="s">
        <v>215</v>
      </c>
      <c r="K245" s="207"/>
      <c r="L245" s="207"/>
      <c r="M245" s="207"/>
      <c r="N245" s="72"/>
      <c r="O245" s="72"/>
      <c r="P245" s="72"/>
      <c r="T245" s="206"/>
      <c r="U245" s="206"/>
      <c r="V245" s="206"/>
    </row>
    <row r="246" ht="15.75" customHeight="1">
      <c r="B246" s="199"/>
      <c r="C246" s="199"/>
      <c r="D246" s="199"/>
      <c r="E246" s="207"/>
      <c r="F246" s="207"/>
      <c r="G246" s="213"/>
      <c r="H246" s="208" t="s">
        <v>216</v>
      </c>
      <c r="I246" s="239">
        <f>max(I245,I244)</f>
        <v>0.02868484789</v>
      </c>
      <c r="J246" s="210" t="s">
        <v>217</v>
      </c>
      <c r="K246" s="207"/>
      <c r="L246" s="207"/>
      <c r="M246" s="207"/>
      <c r="N246" s="207"/>
      <c r="O246" s="211"/>
      <c r="P246" s="207"/>
      <c r="T246" s="206"/>
      <c r="U246" s="206"/>
      <c r="V246" s="206"/>
    </row>
    <row r="247" ht="15.75" customHeight="1">
      <c r="B247" s="33"/>
      <c r="C247" s="58"/>
      <c r="D247" s="47"/>
      <c r="E247" s="224"/>
      <c r="F247" s="224"/>
      <c r="G247" s="72"/>
      <c r="H247" s="72"/>
      <c r="I247" s="224"/>
      <c r="J247" s="224"/>
      <c r="K247" s="207"/>
      <c r="L247" s="207"/>
      <c r="M247" s="207"/>
      <c r="N247" s="207"/>
      <c r="O247" s="207"/>
      <c r="P247" s="207"/>
      <c r="U247" s="243"/>
    </row>
    <row r="248" ht="15.75" customHeight="1">
      <c r="A248" s="244" t="s">
        <v>218</v>
      </c>
      <c r="C248" s="245"/>
      <c r="D248" s="246"/>
      <c r="E248" s="224"/>
      <c r="F248" s="224"/>
      <c r="G248" s="231"/>
      <c r="H248" s="231" t="s">
        <v>219</v>
      </c>
      <c r="I248" s="209">
        <f>IF(ISERROR(I246/L210),"",I246/L210)</f>
        <v>0.9306639536</v>
      </c>
      <c r="J248" s="247" t="str">
        <f t="shared" ref="J248:J249" si="41">IF(I248="","",IF(I248&lt;=1,"OK","NG"))</f>
        <v>OK</v>
      </c>
      <c r="K248" s="211" t="s">
        <v>220</v>
      </c>
      <c r="L248" s="72"/>
      <c r="M248" s="207"/>
      <c r="N248" s="207"/>
      <c r="O248" s="207"/>
      <c r="P248" s="207"/>
      <c r="T248" s="248"/>
      <c r="U248" s="205"/>
    </row>
    <row r="249" ht="15.75" customHeight="1">
      <c r="A249" s="244" t="s">
        <v>221</v>
      </c>
      <c r="B249" s="249"/>
      <c r="C249" s="246"/>
      <c r="D249" s="246"/>
      <c r="E249" s="224"/>
      <c r="F249" s="224"/>
      <c r="G249" s="231"/>
      <c r="H249" s="231" t="s">
        <v>219</v>
      </c>
      <c r="I249" s="209">
        <f>max(T209)</f>
        <v>0.8982282683</v>
      </c>
      <c r="J249" s="247" t="str">
        <f t="shared" si="41"/>
        <v>OK</v>
      </c>
      <c r="K249" s="211" t="s">
        <v>222</v>
      </c>
      <c r="L249" s="72"/>
      <c r="M249" s="207"/>
      <c r="N249" s="207"/>
      <c r="O249" s="207"/>
      <c r="P249" s="72"/>
      <c r="T249" s="248"/>
      <c r="U249" s="205"/>
      <c r="V249" s="205"/>
    </row>
    <row r="250" ht="15.75" customHeight="1">
      <c r="A250" s="244" t="s">
        <v>223</v>
      </c>
      <c r="B250" s="249"/>
      <c r="C250" s="249"/>
      <c r="D250" s="250"/>
      <c r="E250" s="72"/>
      <c r="F250" s="72"/>
      <c r="G250" s="226"/>
      <c r="H250" s="226"/>
      <c r="J250" s="251" t="str">
        <f>U209</f>
        <v>OK</v>
      </c>
      <c r="K250" s="252" t="s">
        <v>224</v>
      </c>
      <c r="L250" s="72"/>
      <c r="M250" s="72"/>
      <c r="N250" s="72"/>
      <c r="O250" s="72"/>
      <c r="P250" s="72"/>
      <c r="V250" s="206"/>
    </row>
    <row r="251" ht="15.75" customHeight="1">
      <c r="V251" s="206"/>
    </row>
    <row r="252" ht="15.75" customHeight="1">
      <c r="V252" s="206"/>
    </row>
    <row r="253" ht="15.75" customHeight="1"/>
    <row r="254" ht="15.75" customHeight="1">
      <c r="A254" s="43"/>
      <c r="B254" s="43"/>
      <c r="C254" s="44"/>
      <c r="D254" s="43"/>
      <c r="E254" s="43"/>
      <c r="F254" s="43"/>
      <c r="G254" s="43"/>
      <c r="H254" s="43"/>
      <c r="I254" s="43"/>
      <c r="J254" s="43"/>
      <c r="K254" s="43"/>
      <c r="L254" s="43"/>
      <c r="M254" s="43"/>
      <c r="N254" s="43"/>
      <c r="O254" s="45"/>
      <c r="P254" s="43"/>
      <c r="Q254" s="43"/>
      <c r="R254" s="46"/>
      <c r="S254" s="47"/>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sheetData>
  <mergeCells count="13">
    <mergeCell ref="K178:L178"/>
    <mergeCell ref="J179:K179"/>
    <mergeCell ref="J180:K180"/>
    <mergeCell ref="J181:K181"/>
    <mergeCell ref="J182:K182"/>
    <mergeCell ref="R187:S187"/>
    <mergeCell ref="K7:L7"/>
    <mergeCell ref="J9:K9"/>
    <mergeCell ref="J10:K10"/>
    <mergeCell ref="J11:K11"/>
    <mergeCell ref="R16:S16"/>
    <mergeCell ref="K93:L93"/>
    <mergeCell ref="R102:S102"/>
  </mergeCells>
  <conditionalFormatting sqref="A1:C84 D1:D16 E1:S84 T6:V84 D18:D84 A86:S165 T92:V165 A171:S252 T177:V252 A254:S254">
    <cfRule type="expression" dxfId="0" priority="1" stopIfTrue="1">
      <formula>NOT(#REF!)</formula>
    </cfRule>
  </conditionalFormatting>
  <conditionalFormatting sqref="A1:C84 D1:D16 E1:S84 T6:V84 D18:D84 A86:S165 T92:V165 A171:S252 T177:V252 A254:S254">
    <cfRule type="expression" dxfId="1" priority="2">
      <formula>CELL("protect", INDIRECT(ADDRESS(ROW(),COLUMN())))=1</formula>
    </cfRule>
  </conditionalFormatting>
  <dataValidations>
    <dataValidation type="list" allowBlank="1" showErrorMessage="1" sqref="M27 M29 M31 M33 M36 M113 M115 M117 M119 M122 M198 M200 M202 M204 M207">
      <formula1>"Exterieur,Interieur"</formula1>
    </dataValidation>
    <dataValidation type="list" allowBlank="1" showErrorMessage="1" sqref="D13">
      <formula1>"A,B,C,D"</formula1>
    </dataValidation>
    <dataValidation type="list" allowBlank="1" showErrorMessage="1" sqref="D15">
      <formula1>"A,B,C,D,E,F"</formula1>
    </dataValidation>
    <dataValidation type="list" allowBlank="1" showErrorMessage="1" sqref="D12">
      <formula1>"Légère,Lourde"</formula1>
    </dataValidation>
    <dataValidation type="list" allowBlank="1" showErrorMessage="1" sqref="D8 D94 D179">
      <formula1>"1.1,1.2,2.2,1.3,2.3,3.3"</formula1>
    </dataValidation>
  </dataValidations>
  <printOptions/>
  <pageMargins bottom="1.0" footer="0.0" header="0.0" left="0.5" right="0.5" top="1.0"/>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5.86"/>
    <col customWidth="1" min="3" max="3" width="22.29"/>
    <col customWidth="1" min="4" max="4" width="10.43"/>
    <col customWidth="1" min="5" max="5" width="9.29"/>
    <col customWidth="1" min="6" max="6" width="8.0"/>
    <col customWidth="1" min="7" max="7" width="8.29"/>
    <col customWidth="1" min="8" max="8" width="10.0"/>
    <col customWidth="1" min="9" max="9" width="16.0"/>
    <col customWidth="1" min="10" max="10" width="11.43"/>
    <col customWidth="1" min="11" max="11" width="15.29"/>
    <col customWidth="1" min="12" max="12" width="10.57"/>
    <col customWidth="1" min="13" max="13" width="16.86"/>
    <col customWidth="1" min="14" max="14" width="15.29"/>
    <col customWidth="1" min="15" max="15" width="11.0"/>
    <col customWidth="1" min="16" max="16" width="10.14"/>
    <col customWidth="1" min="17" max="17" width="11.86"/>
    <col customWidth="1" min="18" max="18" width="9.14"/>
    <col customWidth="1" min="19" max="19" width="12.43"/>
    <col customWidth="1" min="20" max="20" width="11.29"/>
    <col customWidth="1" min="21" max="21" width="13.14"/>
    <col customWidth="1" min="22" max="22" width="6.0"/>
  </cols>
  <sheetData>
    <row r="1">
      <c r="A1" s="43"/>
      <c r="B1" s="43"/>
      <c r="C1" s="44"/>
      <c r="D1" s="43"/>
      <c r="E1" s="43"/>
      <c r="F1" s="43"/>
      <c r="G1" s="43"/>
      <c r="H1" s="43"/>
      <c r="I1" s="43"/>
      <c r="J1" s="43"/>
      <c r="K1" s="43"/>
      <c r="L1" s="43"/>
      <c r="M1" s="43"/>
      <c r="N1" s="43"/>
      <c r="O1" s="45"/>
      <c r="P1" s="43"/>
      <c r="Q1" s="43"/>
      <c r="R1" s="46"/>
      <c r="S1" s="47"/>
    </row>
    <row r="2">
      <c r="A2" s="43"/>
      <c r="B2" s="49" t="s">
        <v>75</v>
      </c>
      <c r="C2" s="50"/>
      <c r="D2" s="51"/>
      <c r="E2" s="51"/>
      <c r="F2" s="51"/>
      <c r="G2" s="51"/>
      <c r="H2" s="51"/>
      <c r="I2" s="51"/>
      <c r="J2" s="51"/>
      <c r="K2" s="51"/>
      <c r="L2" s="51"/>
      <c r="M2" s="51"/>
      <c r="N2" s="52" t="s">
        <v>76</v>
      </c>
      <c r="O2" s="273"/>
      <c r="P2" s="51"/>
      <c r="Q2" s="51"/>
      <c r="R2" s="53"/>
      <c r="S2" s="54"/>
    </row>
    <row r="3">
      <c r="A3" s="43"/>
      <c r="B3" s="49" t="s">
        <v>77</v>
      </c>
      <c r="C3" s="55" t="s">
        <v>78</v>
      </c>
      <c r="D3" s="56"/>
      <c r="E3" s="51"/>
      <c r="F3" s="51"/>
      <c r="G3" s="51"/>
      <c r="H3" s="51"/>
      <c r="I3" s="51"/>
      <c r="J3" s="51"/>
      <c r="K3" s="51"/>
      <c r="L3" s="51"/>
      <c r="M3" s="51"/>
      <c r="N3" s="57" t="s">
        <v>79</v>
      </c>
      <c r="O3" s="274"/>
      <c r="P3" s="51"/>
      <c r="Q3" s="51"/>
      <c r="R3" s="53"/>
      <c r="S3" s="54"/>
    </row>
    <row r="4" ht="15.75" customHeight="1">
      <c r="A4" s="43"/>
      <c r="B4" s="51"/>
      <c r="C4" s="52"/>
      <c r="D4" s="56"/>
      <c r="E4" s="51"/>
      <c r="F4" s="51"/>
      <c r="G4" s="51"/>
      <c r="H4" s="51"/>
      <c r="I4" s="51"/>
      <c r="J4" s="51"/>
      <c r="K4" s="51"/>
      <c r="L4" s="51"/>
      <c r="M4" s="51"/>
      <c r="N4" s="57" t="s">
        <v>80</v>
      </c>
      <c r="O4" s="275"/>
      <c r="P4" s="51"/>
      <c r="Q4" s="51"/>
      <c r="R4" s="53"/>
      <c r="S4" s="54"/>
    </row>
    <row r="5" ht="16.5" customHeight="1">
      <c r="A5" s="43"/>
      <c r="B5" s="43"/>
      <c r="C5" s="45"/>
      <c r="D5" s="43"/>
      <c r="E5" s="43"/>
      <c r="F5" s="43"/>
      <c r="G5" s="43"/>
      <c r="H5" s="43"/>
      <c r="I5" s="43"/>
      <c r="J5" s="43"/>
      <c r="K5" s="43"/>
      <c r="L5" s="43"/>
      <c r="M5" s="43"/>
      <c r="N5" s="43"/>
      <c r="O5" s="43"/>
      <c r="P5" s="43"/>
      <c r="Q5" s="43"/>
      <c r="R5" s="46"/>
      <c r="S5" s="33"/>
    </row>
    <row r="6" ht="16.5" customHeight="1">
      <c r="A6" s="58"/>
      <c r="B6" s="59" t="s">
        <v>81</v>
      </c>
      <c r="C6" s="60"/>
      <c r="D6" s="61"/>
      <c r="E6" s="61" t="s">
        <v>82</v>
      </c>
      <c r="F6" s="61"/>
      <c r="G6" s="60"/>
      <c r="H6" s="60"/>
      <c r="I6" s="43"/>
      <c r="J6" s="58"/>
      <c r="K6" s="62"/>
      <c r="L6" s="62"/>
      <c r="M6" s="62"/>
      <c r="N6" s="58"/>
      <c r="O6" s="58"/>
      <c r="R6" s="58"/>
    </row>
    <row r="7" ht="16.5" customHeight="1">
      <c r="A7" s="66"/>
      <c r="B7" s="67" t="s">
        <v>85</v>
      </c>
      <c r="C7" s="68"/>
      <c r="D7" s="68"/>
      <c r="E7" s="68"/>
      <c r="F7" s="68"/>
      <c r="G7" s="68"/>
      <c r="H7" s="68"/>
      <c r="I7" s="68"/>
      <c r="J7" s="5"/>
      <c r="K7" s="69"/>
      <c r="N7" s="68"/>
      <c r="O7" s="70" t="s">
        <v>86</v>
      </c>
      <c r="P7" s="276">
        <f>'WAP for Y-AXIS Walls'!P7</f>
        <v>54.02</v>
      </c>
      <c r="Q7" s="71" t="s">
        <v>87</v>
      </c>
      <c r="R7" s="71"/>
      <c r="S7" s="68"/>
      <c r="T7" s="68"/>
      <c r="U7" s="72"/>
    </row>
    <row r="8" ht="16.5" customHeight="1">
      <c r="A8" s="73"/>
      <c r="B8" s="74"/>
      <c r="C8" s="70" t="s">
        <v>88</v>
      </c>
      <c r="D8" s="277">
        <f>'WAP for Y-AXIS Walls'!D8</f>
        <v>1.3</v>
      </c>
      <c r="E8" s="43" t="str">
        <f>lookup($D$8,Reference!$B$37:$B$42,Reference!$M$37:$M$42)</f>
        <v>Premier de trois étages</v>
      </c>
      <c r="F8" s="43"/>
      <c r="G8" s="43"/>
      <c r="H8" s="43"/>
      <c r="I8" s="68"/>
      <c r="J8" s="65"/>
      <c r="L8" s="76"/>
      <c r="N8" s="68"/>
      <c r="O8" s="77" t="s">
        <v>89</v>
      </c>
      <c r="P8" s="276">
        <f>'WAP for Y-AXIS Walls'!P8</f>
        <v>14.6</v>
      </c>
      <c r="Q8" s="71" t="s">
        <v>84</v>
      </c>
      <c r="R8" s="71"/>
      <c r="S8" s="68"/>
      <c r="T8" s="68"/>
      <c r="U8" s="72"/>
    </row>
    <row r="9" ht="16.5" customHeight="1">
      <c r="A9" s="74"/>
      <c r="B9" s="43"/>
      <c r="C9" s="78" t="s">
        <v>226</v>
      </c>
      <c r="D9" s="79">
        <f>'WAP for Y-AXIS Walls'!D9</f>
        <v>3</v>
      </c>
      <c r="E9" s="80" t="s">
        <v>236</v>
      </c>
      <c r="F9" s="80"/>
      <c r="G9" s="80"/>
      <c r="H9" s="80"/>
      <c r="I9" s="43"/>
      <c r="J9" s="65"/>
      <c r="L9" s="76"/>
      <c r="N9" s="71"/>
      <c r="O9" s="77" t="s">
        <v>92</v>
      </c>
      <c r="P9" s="276">
        <f>'WAP for Y-AXIS Walls'!P9</f>
        <v>3.7</v>
      </c>
      <c r="Q9" s="71" t="s">
        <v>84</v>
      </c>
      <c r="R9" s="71"/>
      <c r="S9" s="68"/>
      <c r="T9" s="68"/>
      <c r="U9" s="72"/>
    </row>
    <row r="10" ht="16.5" customHeight="1">
      <c r="A10" s="67"/>
      <c r="B10" s="68"/>
      <c r="C10" s="77" t="s">
        <v>93</v>
      </c>
      <c r="D10" s="79">
        <f>'WAP for Y-AXIS Walls'!D10</f>
        <v>1</v>
      </c>
      <c r="E10" s="68" t="str">
        <f>lookup($D$8,Reference!$B$37:$B$42,Reference!$E$37:$E$42)</f>
        <v>Rez-de-chaussée (Niveau 1)</v>
      </c>
      <c r="F10" s="68"/>
      <c r="G10" s="68"/>
      <c r="H10" s="68"/>
      <c r="I10" s="68"/>
      <c r="J10" s="81"/>
      <c r="L10" s="82"/>
      <c r="N10" s="68"/>
      <c r="O10" s="68"/>
      <c r="P10" s="68"/>
      <c r="Q10" s="43"/>
      <c r="R10" s="43"/>
      <c r="S10" s="43"/>
      <c r="T10" s="43"/>
    </row>
    <row r="11" ht="16.5" customHeight="1">
      <c r="A11" s="254"/>
      <c r="B11" s="254"/>
      <c r="C11" s="63" t="s">
        <v>94</v>
      </c>
      <c r="D11" s="79">
        <f>'WAP for Y-AXIS Walls'!D11</f>
        <v>2.9</v>
      </c>
      <c r="E11" s="68"/>
      <c r="J11" s="85"/>
      <c r="L11" s="84"/>
      <c r="N11" s="68"/>
      <c r="O11" s="68"/>
      <c r="P11" s="68"/>
      <c r="Q11" s="43"/>
      <c r="R11" s="43"/>
      <c r="S11" s="43"/>
      <c r="T11" s="43"/>
    </row>
    <row r="12" ht="16.5" customHeight="1">
      <c r="A12" s="43"/>
      <c r="B12" s="74"/>
      <c r="C12" s="70" t="s">
        <v>95</v>
      </c>
      <c r="D12" s="79" t="str">
        <f>'WAP for Y-AXIS Walls'!D12</f>
        <v>Lourde</v>
      </c>
      <c r="E12" s="43"/>
      <c r="F12" s="33"/>
      <c r="G12" s="33"/>
      <c r="H12" s="33"/>
      <c r="I12" s="33"/>
      <c r="J12" s="85"/>
      <c r="K12" s="85"/>
      <c r="L12" s="84"/>
      <c r="N12" s="68"/>
      <c r="O12" s="68"/>
      <c r="P12" s="68"/>
      <c r="Q12" s="43"/>
      <c r="R12" s="43"/>
      <c r="S12" s="43"/>
      <c r="T12" s="43"/>
    </row>
    <row r="13" ht="16.5" customHeight="1">
      <c r="A13" s="43"/>
      <c r="B13" s="43"/>
      <c r="C13" s="78" t="s">
        <v>97</v>
      </c>
      <c r="D13" s="278" t="str">
        <f>'WAP for Y-AXIS Walls'!D13</f>
        <v>B</v>
      </c>
      <c r="E13" s="80"/>
      <c r="F13" s="32"/>
      <c r="G13" s="87"/>
      <c r="H13" s="87"/>
      <c r="I13" s="33"/>
      <c r="J13" s="85"/>
      <c r="K13" s="85"/>
      <c r="L13" s="84"/>
      <c r="N13" s="68"/>
      <c r="O13" s="88" t="s">
        <v>99</v>
      </c>
      <c r="P13" s="48"/>
      <c r="Q13" s="43"/>
      <c r="R13" s="80" t="s">
        <v>227</v>
      </c>
      <c r="S13" s="43"/>
      <c r="T13" s="43"/>
      <c r="U13" s="72"/>
    </row>
    <row r="14" ht="16.5" customHeight="1">
      <c r="A14" s="43"/>
      <c r="B14" s="43"/>
      <c r="C14" s="70" t="s">
        <v>101</v>
      </c>
      <c r="D14" s="278">
        <f>'WAP for Y-AXIS Walls'!D14</f>
        <v>1.1</v>
      </c>
      <c r="E14" s="80"/>
      <c r="F14" s="32"/>
      <c r="G14" s="33"/>
      <c r="H14" s="33"/>
      <c r="I14" s="33"/>
      <c r="J14" s="85"/>
      <c r="K14" s="85"/>
      <c r="L14" s="84"/>
      <c r="N14" s="70"/>
      <c r="O14" s="70" t="s">
        <v>237</v>
      </c>
      <c r="P14" s="91">
        <f>P9/P8</f>
        <v>0.2534246575</v>
      </c>
      <c r="Q14" s="43"/>
      <c r="R14" s="43"/>
      <c r="S14" s="92"/>
      <c r="T14" s="43"/>
      <c r="U14" s="72"/>
    </row>
    <row r="15" ht="16.5" customHeight="1">
      <c r="A15" s="68"/>
      <c r="B15" s="43"/>
      <c r="C15" s="70" t="s">
        <v>103</v>
      </c>
      <c r="D15" s="278" t="str">
        <f>'WAP for Y-AXIS Walls'!D15</f>
        <v>D</v>
      </c>
      <c r="E15" s="80"/>
      <c r="F15" s="32"/>
      <c r="G15" s="33"/>
      <c r="H15" s="33"/>
      <c r="I15" s="33"/>
      <c r="J15" s="93"/>
      <c r="N15" s="80"/>
      <c r="O15" s="70"/>
      <c r="P15" s="45"/>
      <c r="Q15" s="80" t="s">
        <v>228</v>
      </c>
      <c r="R15" s="92">
        <f>'WAP for Y-AXIS Walls'!R15</f>
        <v>54.02</v>
      </c>
      <c r="S15" s="92"/>
      <c r="T15" s="94">
        <f>'WAP for Y-AXIS Walls'!T15</f>
        <v>3.7</v>
      </c>
      <c r="U15" s="72"/>
    </row>
    <row r="16" ht="16.5" customHeight="1">
      <c r="A16" s="68"/>
      <c r="B16" s="68"/>
      <c r="C16" s="77" t="s">
        <v>107</v>
      </c>
      <c r="D16" s="79">
        <f>'WAP for Y-AXIS Walls'!D16</f>
        <v>1.59</v>
      </c>
      <c r="E16" s="68"/>
      <c r="N16" s="68"/>
      <c r="O16" s="43"/>
      <c r="P16" s="45"/>
      <c r="Q16" s="43"/>
      <c r="R16" s="256" t="s">
        <v>238</v>
      </c>
      <c r="T16" s="43"/>
      <c r="U16" s="72"/>
    </row>
    <row r="17" ht="16.5" customHeight="1">
      <c r="A17" s="43"/>
      <c r="B17" s="68"/>
      <c r="C17" s="77" t="s">
        <v>109</v>
      </c>
      <c r="D17" s="79">
        <f>'WAP for Y-AXIS Walls'!D17</f>
        <v>1.2</v>
      </c>
      <c r="E17" s="68"/>
      <c r="N17" s="68"/>
      <c r="O17" s="43"/>
      <c r="P17" s="43"/>
      <c r="Q17" s="43"/>
      <c r="R17" s="92">
        <f>'WAP for Y-AXIS Walls'!R17</f>
        <v>14.6</v>
      </c>
      <c r="S17" s="92"/>
      <c r="T17" s="43"/>
      <c r="U17" s="72"/>
    </row>
    <row r="18" ht="16.5" customHeight="1">
      <c r="A18" s="68"/>
      <c r="B18" s="68"/>
      <c r="C18" s="77" t="s">
        <v>110</v>
      </c>
      <c r="D18" s="278">
        <f>'WAP for Y-AXIS Walls'!D18</f>
        <v>1.3992</v>
      </c>
      <c r="E18" s="68"/>
      <c r="N18" s="72"/>
      <c r="O18" s="72"/>
      <c r="P18" s="72"/>
      <c r="Q18" s="72"/>
      <c r="R18" s="72"/>
      <c r="S18" s="72"/>
      <c r="T18" s="72"/>
      <c r="U18" s="72"/>
    </row>
    <row r="19" ht="30.75" customHeight="1">
      <c r="K19" s="98" t="s">
        <v>111</v>
      </c>
    </row>
    <row r="20" ht="16.5" customHeight="1"/>
    <row r="21" ht="16.5" customHeight="1">
      <c r="A21" s="99"/>
      <c r="B21" s="100" t="s">
        <v>112</v>
      </c>
      <c r="C21" s="101" t="s">
        <v>113</v>
      </c>
      <c r="D21" s="101" t="s">
        <v>114</v>
      </c>
      <c r="E21" s="101"/>
      <c r="F21" s="102"/>
      <c r="G21" s="103"/>
      <c r="H21" s="102" t="s">
        <v>115</v>
      </c>
      <c r="I21" s="102"/>
      <c r="J21" s="101"/>
      <c r="K21" s="101" t="s">
        <v>116</v>
      </c>
      <c r="L21" s="101" t="s">
        <v>117</v>
      </c>
      <c r="M21" s="104" t="s">
        <v>118</v>
      </c>
      <c r="N21" s="101"/>
      <c r="O21" s="105"/>
      <c r="P21" s="105"/>
      <c r="Q21" s="101"/>
      <c r="R21" s="106"/>
      <c r="S21" s="107"/>
      <c r="T21" s="107"/>
      <c r="U21" s="108"/>
    </row>
    <row r="22" ht="16.5" customHeight="1">
      <c r="A22" s="99"/>
      <c r="B22" s="109"/>
      <c r="C22" s="110"/>
      <c r="D22" s="111" t="s">
        <v>119</v>
      </c>
      <c r="E22" s="111" t="s">
        <v>120</v>
      </c>
      <c r="F22" s="111" t="s">
        <v>121</v>
      </c>
      <c r="G22" s="112" t="s">
        <v>122</v>
      </c>
      <c r="H22" s="111" t="s">
        <v>123</v>
      </c>
      <c r="I22" s="111" t="s">
        <v>124</v>
      </c>
      <c r="J22" s="111" t="s">
        <v>125</v>
      </c>
      <c r="K22" s="111" t="s">
        <v>126</v>
      </c>
      <c r="L22" s="111" t="s">
        <v>127</v>
      </c>
      <c r="M22" s="113" t="s">
        <v>128</v>
      </c>
      <c r="N22" s="111" t="s">
        <v>129</v>
      </c>
      <c r="O22" s="111" t="s">
        <v>123</v>
      </c>
      <c r="P22" s="110" t="s">
        <v>130</v>
      </c>
      <c r="Q22" s="111" t="s">
        <v>131</v>
      </c>
      <c r="R22" s="114" t="s">
        <v>132</v>
      </c>
      <c r="S22" s="115"/>
      <c r="T22" s="115"/>
      <c r="U22" s="116"/>
    </row>
    <row r="23" ht="16.5" customHeight="1">
      <c r="A23" s="99"/>
      <c r="B23" s="117"/>
      <c r="C23" s="118"/>
      <c r="D23" s="111" t="s">
        <v>133</v>
      </c>
      <c r="E23" s="111" t="s">
        <v>134</v>
      </c>
      <c r="F23" s="115" t="s">
        <v>135</v>
      </c>
      <c r="G23" s="116" t="s">
        <v>136</v>
      </c>
      <c r="H23" s="111" t="s">
        <v>137</v>
      </c>
      <c r="I23" s="111" t="s">
        <v>138</v>
      </c>
      <c r="J23" s="111" t="s">
        <v>139</v>
      </c>
      <c r="K23" s="111" t="s">
        <v>137</v>
      </c>
      <c r="L23" s="111" t="s">
        <v>140</v>
      </c>
      <c r="M23" s="113" t="s">
        <v>141</v>
      </c>
      <c r="N23" s="111" t="s">
        <v>142</v>
      </c>
      <c r="O23" s="111" t="s">
        <v>143</v>
      </c>
      <c r="P23" s="115" t="s">
        <v>144</v>
      </c>
      <c r="Q23" s="111" t="s">
        <v>145</v>
      </c>
      <c r="R23" s="115" t="s">
        <v>146</v>
      </c>
      <c r="S23" s="115" t="s">
        <v>147</v>
      </c>
      <c r="T23" s="115" t="s">
        <v>148</v>
      </c>
      <c r="U23" s="116" t="s">
        <v>149</v>
      </c>
    </row>
    <row r="24">
      <c r="A24" s="99"/>
      <c r="B24" s="119"/>
      <c r="C24" s="120"/>
      <c r="D24" s="121" t="s">
        <v>134</v>
      </c>
      <c r="E24" s="121"/>
      <c r="F24" s="120"/>
      <c r="G24" s="122"/>
      <c r="H24" s="123" t="s">
        <v>150</v>
      </c>
      <c r="I24" s="123" t="s">
        <v>151</v>
      </c>
      <c r="J24" s="120"/>
      <c r="K24" s="124" t="s">
        <v>152</v>
      </c>
      <c r="L24" s="125" t="s">
        <v>153</v>
      </c>
      <c r="M24" s="126" t="s">
        <v>154</v>
      </c>
      <c r="N24" s="125" t="s">
        <v>155</v>
      </c>
      <c r="O24" s="124" t="s">
        <v>156</v>
      </c>
      <c r="P24" s="121"/>
      <c r="Q24" s="125"/>
      <c r="R24" s="127"/>
      <c r="S24" s="127"/>
      <c r="T24" s="121" t="s">
        <v>157</v>
      </c>
      <c r="U24" s="128"/>
    </row>
    <row r="25" ht="18.75" customHeight="1">
      <c r="A25" s="129"/>
      <c r="B25" s="268" t="s">
        <v>239</v>
      </c>
      <c r="C25" s="279" t="s">
        <v>240</v>
      </c>
      <c r="D25" s="132">
        <v>1.3</v>
      </c>
      <c r="E25" s="132">
        <v>0.2</v>
      </c>
      <c r="F25" s="133">
        <v>10.0</v>
      </c>
      <c r="G25" s="134">
        <v>0.414</v>
      </c>
      <c r="H25" s="135">
        <f t="shared" ref="H25:H29" si="1">D25*0.15</f>
        <v>0.195</v>
      </c>
      <c r="I25" s="135">
        <f t="shared" ref="I25:I29" si="2">G25*E25/$I$58/0.15</f>
        <v>1.260273973</v>
      </c>
      <c r="J25" s="135">
        <f t="shared" ref="J25:J29" si="3">sqrt(F25/6.9)</f>
        <v>1.203858531</v>
      </c>
      <c r="K25" s="280">
        <f t="shared" ref="K25:K29" si="4">I25*J25</f>
        <v>1.517191573</v>
      </c>
      <c r="L25" s="137">
        <f t="shared" ref="L25:L29" si="5">H25*K25</f>
        <v>0.2958523568</v>
      </c>
      <c r="M25" s="138"/>
      <c r="N25" s="139"/>
      <c r="O25" s="140"/>
      <c r="P25" s="141"/>
      <c r="Q25" s="142"/>
      <c r="R25" s="143"/>
      <c r="S25" s="143"/>
      <c r="T25" s="144"/>
      <c r="U25" s="145"/>
    </row>
    <row r="26" ht="19.5" customHeight="1">
      <c r="A26" s="129"/>
      <c r="B26" s="268" t="s">
        <v>239</v>
      </c>
      <c r="C26" s="279" t="s">
        <v>241</v>
      </c>
      <c r="D26" s="132">
        <v>1.9</v>
      </c>
      <c r="E26" s="132">
        <v>0.2</v>
      </c>
      <c r="F26" s="133">
        <v>10.0</v>
      </c>
      <c r="G26" s="134">
        <v>0.414</v>
      </c>
      <c r="H26" s="135">
        <f t="shared" si="1"/>
        <v>0.285</v>
      </c>
      <c r="I26" s="135">
        <f t="shared" si="2"/>
        <v>1.260273973</v>
      </c>
      <c r="J26" s="135">
        <f t="shared" si="3"/>
        <v>1.203858531</v>
      </c>
      <c r="K26" s="136">
        <f t="shared" si="4"/>
        <v>1.517191573</v>
      </c>
      <c r="L26" s="137">
        <f t="shared" si="5"/>
        <v>0.4323995983</v>
      </c>
      <c r="M26" s="138"/>
      <c r="N26" s="139"/>
      <c r="O26" s="140"/>
      <c r="P26" s="141"/>
      <c r="Q26" s="142"/>
      <c r="R26" s="143"/>
      <c r="S26" s="143"/>
      <c r="T26" s="144"/>
      <c r="U26" s="145"/>
    </row>
    <row r="27" ht="16.5" customHeight="1">
      <c r="A27" s="129"/>
      <c r="B27" s="268" t="s">
        <v>239</v>
      </c>
      <c r="C27" s="279" t="s">
        <v>242</v>
      </c>
      <c r="D27" s="132">
        <v>2.0</v>
      </c>
      <c r="E27" s="132">
        <v>0.2</v>
      </c>
      <c r="F27" s="133">
        <v>10.0</v>
      </c>
      <c r="G27" s="134">
        <v>0.414</v>
      </c>
      <c r="H27" s="135">
        <f t="shared" si="1"/>
        <v>0.3</v>
      </c>
      <c r="I27" s="135">
        <f t="shared" si="2"/>
        <v>1.260273973</v>
      </c>
      <c r="J27" s="135">
        <f t="shared" si="3"/>
        <v>1.203858531</v>
      </c>
      <c r="K27" s="136">
        <f t="shared" si="4"/>
        <v>1.517191573</v>
      </c>
      <c r="L27" s="137">
        <f t="shared" si="5"/>
        <v>0.4551574719</v>
      </c>
      <c r="M27" s="138"/>
      <c r="N27" s="139"/>
      <c r="O27" s="140"/>
      <c r="P27" s="141"/>
      <c r="Q27" s="142"/>
      <c r="R27" s="143"/>
      <c r="S27" s="143"/>
      <c r="T27" s="144"/>
      <c r="U27" s="145"/>
    </row>
    <row r="28" ht="16.5" customHeight="1">
      <c r="A28" s="129"/>
      <c r="B28" s="268" t="s">
        <v>239</v>
      </c>
      <c r="C28" s="279" t="s">
        <v>243</v>
      </c>
      <c r="D28" s="132">
        <v>1.9</v>
      </c>
      <c r="E28" s="132">
        <v>0.2</v>
      </c>
      <c r="F28" s="133">
        <v>10.0</v>
      </c>
      <c r="G28" s="134">
        <v>0.414</v>
      </c>
      <c r="H28" s="135">
        <f t="shared" si="1"/>
        <v>0.285</v>
      </c>
      <c r="I28" s="135">
        <f t="shared" si="2"/>
        <v>1.260273973</v>
      </c>
      <c r="J28" s="135">
        <f t="shared" si="3"/>
        <v>1.203858531</v>
      </c>
      <c r="K28" s="136">
        <f t="shared" si="4"/>
        <v>1.517191573</v>
      </c>
      <c r="L28" s="137">
        <f t="shared" si="5"/>
        <v>0.4323995983</v>
      </c>
      <c r="M28" s="138"/>
      <c r="N28" s="139"/>
      <c r="O28" s="140"/>
      <c r="P28" s="153"/>
      <c r="Q28" s="142"/>
      <c r="R28" s="143"/>
      <c r="S28" s="143"/>
      <c r="T28" s="144"/>
      <c r="U28" s="145"/>
    </row>
    <row r="29" ht="16.5" customHeight="1">
      <c r="A29" s="129"/>
      <c r="B29" s="268" t="s">
        <v>239</v>
      </c>
      <c r="C29" s="279" t="s">
        <v>244</v>
      </c>
      <c r="D29" s="132">
        <v>1.3</v>
      </c>
      <c r="E29" s="132">
        <v>0.2</v>
      </c>
      <c r="F29" s="133">
        <v>10.0</v>
      </c>
      <c r="G29" s="134">
        <v>0.414</v>
      </c>
      <c r="H29" s="135">
        <f t="shared" si="1"/>
        <v>0.195</v>
      </c>
      <c r="I29" s="135">
        <f t="shared" si="2"/>
        <v>1.260273973</v>
      </c>
      <c r="J29" s="135">
        <f t="shared" si="3"/>
        <v>1.203858531</v>
      </c>
      <c r="K29" s="136">
        <f t="shared" si="4"/>
        <v>1.517191573</v>
      </c>
      <c r="L29" s="137">
        <f t="shared" si="5"/>
        <v>0.2958523568</v>
      </c>
      <c r="M29" s="138"/>
      <c r="N29" s="139"/>
      <c r="O29" s="140"/>
      <c r="P29" s="141"/>
      <c r="Q29" s="142"/>
      <c r="R29" s="143"/>
      <c r="S29" s="143"/>
      <c r="T29" s="144"/>
      <c r="U29" s="145"/>
    </row>
    <row r="30" ht="16.5" customHeight="1">
      <c r="A30" s="129"/>
      <c r="B30" s="268" t="s">
        <v>239</v>
      </c>
      <c r="C30" s="281"/>
      <c r="D30" s="148"/>
      <c r="E30" s="148"/>
      <c r="F30" s="149"/>
      <c r="G30" s="150"/>
      <c r="H30" s="135"/>
      <c r="I30" s="135"/>
      <c r="J30" s="135"/>
      <c r="K30" s="136"/>
      <c r="L30" s="137"/>
      <c r="M30" s="151" t="s">
        <v>141</v>
      </c>
      <c r="N30" s="137">
        <f>SUM(L25:L29)</f>
        <v>1.911661382</v>
      </c>
      <c r="O30" s="140">
        <f>P7/2</f>
        <v>27.01</v>
      </c>
      <c r="P30" s="141">
        <f>N30/O30</f>
        <v>0.07077606006</v>
      </c>
      <c r="Q30" s="142">
        <f>P30/$I$75</f>
        <v>1.237631514</v>
      </c>
      <c r="R30" s="143">
        <f>IF(D$12="Légère",IF($M30="Exterieur",VLOOKUP(D$8,Reference!$B$37:$Y$42,13,0),VLOOKUP(D$8,Reference!$B$37:$Y$42,15,0)),IF(P$14&gt;3,IF($M30="Exterieur",VLOOKUP(D$8,Reference!$B$37:$Y$42,21,0),VLOOKUP(D$8,Reference!$B$37:$Y$42,23,0)),IF($M30="Exterieur",VLOOKUP(D$8,Reference!$B$37:$Y$42,17,0),VLOOKUP(D$8,Reference!$B$37:$Y$42,19,0))))</f>
        <v>1</v>
      </c>
      <c r="S30" s="143">
        <f>IF(D$12="Légère",IF($M30="Exterieur",VLOOKUP(D$8,Reference!$B$37:$Y$42,14,0),VLOOKUP(D$8,Reference!$B$37:$Y$42,16,0)),IF(P$14&gt;3,IF($M30="Exterieur",VLOOKUP(D$8,Reference!$B$37:$Y$42,22,0),VLOOKUP(D$8,Reference!$B$37:$Y$42,24,0)),IF($M30="Exterieur",VLOOKUP(D$8,Reference!$B$37:$Y$42,18,0),VLOOKUP(D$8,Reference!$B$37:$Y$42,20,0))))</f>
        <v>3</v>
      </c>
      <c r="T30" s="144">
        <f>R30/Q30</f>
        <v>0.8079949391</v>
      </c>
      <c r="U30" s="145" t="str">
        <f>if(and(Q30&gt;=R30,Q30&lt;=S30),"OK","NG")</f>
        <v>OK</v>
      </c>
    </row>
    <row r="31" ht="16.5" customHeight="1">
      <c r="A31" s="129"/>
      <c r="B31" s="268" t="s">
        <v>98</v>
      </c>
      <c r="C31" s="279" t="s">
        <v>245</v>
      </c>
      <c r="D31" s="132">
        <v>1.3</v>
      </c>
      <c r="E31" s="132">
        <v>0.2</v>
      </c>
      <c r="F31" s="133">
        <v>10.0</v>
      </c>
      <c r="G31" s="134">
        <v>0.414</v>
      </c>
      <c r="H31" s="135">
        <f t="shared" ref="H31:H35" si="6">D31*0.15</f>
        <v>0.195</v>
      </c>
      <c r="I31" s="135">
        <f t="shared" ref="I31:I35" si="7">G31*E31/$I$58/0.15</f>
        <v>1.260273973</v>
      </c>
      <c r="J31" s="135">
        <f t="shared" ref="J31:J35" si="8">sqrt(F31/6.9)</f>
        <v>1.203858531</v>
      </c>
      <c r="K31" s="136">
        <f t="shared" ref="K31:K35" si="9">I31*J31</f>
        <v>1.517191573</v>
      </c>
      <c r="L31" s="137">
        <f t="shared" ref="L31:L35" si="10">H31*K31</f>
        <v>0.2958523568</v>
      </c>
      <c r="M31" s="282"/>
      <c r="O31" s="283"/>
      <c r="U31" s="284"/>
    </row>
    <row r="32" ht="16.5" customHeight="1">
      <c r="A32" s="129"/>
      <c r="B32" s="268" t="s">
        <v>98</v>
      </c>
      <c r="C32" s="279" t="s">
        <v>246</v>
      </c>
      <c r="D32" s="132">
        <v>1.9</v>
      </c>
      <c r="E32" s="132">
        <v>0.2</v>
      </c>
      <c r="F32" s="133">
        <v>10.0</v>
      </c>
      <c r="G32" s="134">
        <v>0.414</v>
      </c>
      <c r="H32" s="135">
        <f t="shared" si="6"/>
        <v>0.285</v>
      </c>
      <c r="I32" s="135">
        <f t="shared" si="7"/>
        <v>1.260273973</v>
      </c>
      <c r="J32" s="135">
        <f t="shared" si="8"/>
        <v>1.203858531</v>
      </c>
      <c r="K32" s="136">
        <f t="shared" si="9"/>
        <v>1.517191573</v>
      </c>
      <c r="L32" s="137">
        <f t="shared" si="10"/>
        <v>0.4323995983</v>
      </c>
      <c r="M32" s="138"/>
      <c r="N32" s="139"/>
      <c r="O32" s="140"/>
      <c r="P32" s="153"/>
      <c r="Q32" s="142"/>
      <c r="R32" s="143"/>
      <c r="S32" s="143"/>
      <c r="T32" s="144"/>
      <c r="U32" s="145"/>
    </row>
    <row r="33" ht="16.5" customHeight="1">
      <c r="A33" s="129"/>
      <c r="B33" s="268" t="s">
        <v>98</v>
      </c>
      <c r="C33" s="279" t="s">
        <v>247</v>
      </c>
      <c r="D33" s="132">
        <v>2.0</v>
      </c>
      <c r="E33" s="132">
        <v>0.2</v>
      </c>
      <c r="F33" s="133">
        <v>10.0</v>
      </c>
      <c r="G33" s="134">
        <v>0.414</v>
      </c>
      <c r="H33" s="135">
        <f t="shared" si="6"/>
        <v>0.3</v>
      </c>
      <c r="I33" s="135">
        <f t="shared" si="7"/>
        <v>1.260273973</v>
      </c>
      <c r="J33" s="135">
        <f t="shared" si="8"/>
        <v>1.203858531</v>
      </c>
      <c r="K33" s="136">
        <f t="shared" si="9"/>
        <v>1.517191573</v>
      </c>
      <c r="L33" s="137">
        <f t="shared" si="10"/>
        <v>0.4551574719</v>
      </c>
      <c r="M33" s="138"/>
      <c r="N33" s="139"/>
      <c r="O33" s="140"/>
      <c r="P33" s="141"/>
      <c r="Q33" s="142"/>
      <c r="R33" s="143"/>
      <c r="S33" s="143"/>
      <c r="T33" s="144"/>
      <c r="U33" s="145"/>
    </row>
    <row r="34" ht="16.5" customHeight="1">
      <c r="A34" s="129"/>
      <c r="B34" s="268" t="s">
        <v>98</v>
      </c>
      <c r="C34" s="279" t="s">
        <v>248</v>
      </c>
      <c r="D34" s="132">
        <v>1.9</v>
      </c>
      <c r="E34" s="132">
        <v>0.2</v>
      </c>
      <c r="F34" s="133">
        <v>10.0</v>
      </c>
      <c r="G34" s="134">
        <v>0.414</v>
      </c>
      <c r="H34" s="135">
        <f t="shared" si="6"/>
        <v>0.285</v>
      </c>
      <c r="I34" s="135">
        <f t="shared" si="7"/>
        <v>1.260273973</v>
      </c>
      <c r="J34" s="135">
        <f t="shared" si="8"/>
        <v>1.203858531</v>
      </c>
      <c r="K34" s="136">
        <f t="shared" si="9"/>
        <v>1.517191573</v>
      </c>
      <c r="L34" s="137">
        <f t="shared" si="10"/>
        <v>0.4323995983</v>
      </c>
      <c r="M34" s="138"/>
      <c r="N34" s="139"/>
      <c r="O34" s="140"/>
      <c r="P34" s="153"/>
      <c r="Q34" s="142"/>
      <c r="R34" s="143"/>
      <c r="S34" s="143"/>
      <c r="T34" s="144"/>
      <c r="U34" s="145"/>
    </row>
    <row r="35" ht="20.25" customHeight="1">
      <c r="A35" s="129"/>
      <c r="B35" s="268" t="s">
        <v>98</v>
      </c>
      <c r="C35" s="279" t="s">
        <v>249</v>
      </c>
      <c r="D35" s="132">
        <v>1.3</v>
      </c>
      <c r="E35" s="132">
        <v>0.2</v>
      </c>
      <c r="F35" s="133">
        <v>10.0</v>
      </c>
      <c r="G35" s="134">
        <v>0.414</v>
      </c>
      <c r="H35" s="135">
        <f t="shared" si="6"/>
        <v>0.195</v>
      </c>
      <c r="I35" s="135">
        <f t="shared" si="7"/>
        <v>1.260273973</v>
      </c>
      <c r="J35" s="135">
        <f t="shared" si="8"/>
        <v>1.203858531</v>
      </c>
      <c r="K35" s="136">
        <f t="shared" si="9"/>
        <v>1.517191573</v>
      </c>
      <c r="L35" s="137">
        <f t="shared" si="10"/>
        <v>0.2958523568</v>
      </c>
      <c r="M35" s="138"/>
      <c r="N35" s="139"/>
      <c r="O35" s="140"/>
      <c r="P35" s="153"/>
      <c r="Q35" s="142"/>
      <c r="R35" s="143"/>
      <c r="S35" s="143"/>
      <c r="T35" s="144"/>
      <c r="U35" s="145"/>
    </row>
    <row r="36" ht="16.5" customHeight="1">
      <c r="A36" s="129"/>
      <c r="B36" s="268" t="s">
        <v>98</v>
      </c>
      <c r="C36" s="269"/>
      <c r="D36" s="152"/>
      <c r="E36" s="152"/>
      <c r="F36" s="270"/>
      <c r="G36" s="271"/>
      <c r="H36" s="135"/>
      <c r="I36" s="135"/>
      <c r="J36" s="155"/>
      <c r="K36" s="136"/>
      <c r="L36" s="137"/>
      <c r="M36" s="151" t="s">
        <v>141</v>
      </c>
      <c r="N36" s="137">
        <f>SUM(L31:L35)</f>
        <v>1.911661382</v>
      </c>
      <c r="O36" s="285">
        <f>P7/2</f>
        <v>27.01</v>
      </c>
      <c r="P36" s="141">
        <f>N36/O36</f>
        <v>0.07077606006</v>
      </c>
      <c r="Q36" s="142">
        <f>P36/$I$75</f>
        <v>1.237631514</v>
      </c>
      <c r="R36" s="143">
        <f>IF(D$12="Légère",IF($M36="Exterieur",VLOOKUP(D$8,Reference!$B$37:$Y$42,13,0),VLOOKUP(D$8,Reference!$B$37:$Y$42,15,0)),IF(P$14&gt;3,IF($M36="Exterieur",VLOOKUP(D$8,Reference!$B$37:$Y$42,21,0),VLOOKUP(D$8,Reference!$B$37:$Y$42,23,0)),IF($M36="Exterieur",VLOOKUP(D$8,Reference!$B$37:$Y$42,17,0),VLOOKUP(D$8,Reference!$B$37:$Y$42,19,0))))</f>
        <v>1</v>
      </c>
      <c r="S36" s="143">
        <f>IF(D$12="Légère",IF($M36="Exterieur",VLOOKUP(D$8,Reference!$B$37:$Y$42,14,0),VLOOKUP(D$8,Reference!$B$37:$Y$42,16,0)),IF(P$14&gt;3,IF($M36="Exterieur",VLOOKUP(D$8,Reference!$B$37:$Y$42,22,0),VLOOKUP(D$8,Reference!$B$37:$Y$42,24,0)),IF($M36="Exterieur",VLOOKUP(D$8,Reference!$B$37:$Y$42,18,0),VLOOKUP(D$8,Reference!$B$37:$Y$42,20,0))))</f>
        <v>3</v>
      </c>
      <c r="T36" s="144">
        <f>R36/Q36</f>
        <v>0.8079949391</v>
      </c>
      <c r="U36" s="145" t="str">
        <f>if(and(Q36&gt;=R36,Q36&lt;=S36),"OK","NG")</f>
        <v>OK</v>
      </c>
    </row>
    <row r="37" ht="16.5" customHeight="1">
      <c r="A37" s="129"/>
      <c r="B37" s="156"/>
      <c r="C37" s="157"/>
      <c r="D37" s="158"/>
      <c r="E37" s="158"/>
      <c r="F37" s="159"/>
      <c r="G37" s="160"/>
      <c r="H37" s="161"/>
      <c r="I37" s="161"/>
      <c r="J37" s="162"/>
      <c r="K37" s="163"/>
      <c r="L37" s="164"/>
      <c r="M37" s="165"/>
      <c r="N37" s="166"/>
      <c r="O37" s="167"/>
      <c r="P37" s="168"/>
      <c r="Q37" s="169"/>
      <c r="R37" s="170"/>
      <c r="S37" s="170"/>
      <c r="T37" s="171"/>
      <c r="U37" s="128"/>
    </row>
    <row r="38" ht="16.5" customHeight="1">
      <c r="B38" s="172" t="s">
        <v>159</v>
      </c>
      <c r="C38" s="173"/>
      <c r="D38" s="173"/>
      <c r="E38" s="173"/>
      <c r="F38" s="173"/>
      <c r="G38" s="173"/>
      <c r="H38" s="263"/>
      <c r="I38" s="175"/>
      <c r="J38" s="272"/>
      <c r="K38" s="176" t="s">
        <v>160</v>
      </c>
      <c r="L38" s="177">
        <f>SUM(L25:L37)</f>
        <v>3.823322764</v>
      </c>
      <c r="M38" s="178" t="s">
        <v>250</v>
      </c>
      <c r="N38" s="177">
        <f t="shared" ref="N38:O38" si="11">SUM(N25:N37)</f>
        <v>3.823322764</v>
      </c>
      <c r="O38" s="179">
        <f t="shared" si="11"/>
        <v>54.02</v>
      </c>
      <c r="P38" s="180">
        <f>N38/O38</f>
        <v>0.07077606006</v>
      </c>
      <c r="Q38" s="169">
        <f>P38/$I$75</f>
        <v>1.237631514</v>
      </c>
      <c r="R38" s="181">
        <v>1.0</v>
      </c>
      <c r="S38" s="182" t="s">
        <v>162</v>
      </c>
      <c r="T38" s="183">
        <f>max(T25:T37)</f>
        <v>0.8079949391</v>
      </c>
      <c r="U38" s="128" t="str">
        <f>if(COUNTIF($U$25:$U$37, "NG")&gt;0,"NG",if($P$38&gt;=$I$75,"OK","NG"))</f>
        <v>OK</v>
      </c>
    </row>
    <row r="39" ht="16.5" customHeight="1">
      <c r="B39" s="184"/>
      <c r="C39" s="184"/>
      <c r="D39" s="184"/>
      <c r="E39" s="184"/>
      <c r="F39" s="184"/>
      <c r="G39" s="185"/>
      <c r="H39" s="185"/>
      <c r="I39" s="186"/>
      <c r="J39" s="187"/>
      <c r="K39" s="70" t="s">
        <v>163</v>
      </c>
      <c r="L39" s="188">
        <f>IF(ISERROR(L38/$R$15),"",L38/$R$15)</f>
        <v>0.07077606006</v>
      </c>
      <c r="M39" s="189" t="s">
        <v>251</v>
      </c>
      <c r="N39" s="186"/>
      <c r="O39" s="190">
        <f>R15</f>
        <v>54.02</v>
      </c>
      <c r="P39" s="191">
        <f>L39</f>
        <v>0.07077606006</v>
      </c>
      <c r="Q39" s="185" t="s">
        <v>165</v>
      </c>
      <c r="R39" s="68"/>
      <c r="S39" s="68"/>
      <c r="T39" s="68"/>
      <c r="U39" s="68"/>
    </row>
    <row r="40" ht="16.5" customHeight="1">
      <c r="B40" s="184"/>
      <c r="C40" s="184"/>
      <c r="D40" s="184"/>
      <c r="E40" s="184"/>
      <c r="F40" s="184"/>
      <c r="G40" s="185"/>
      <c r="H40" s="185"/>
      <c r="I40" s="186"/>
      <c r="J40" s="187"/>
      <c r="K40" s="77" t="s">
        <v>166</v>
      </c>
      <c r="L40" s="192">
        <f>I75</f>
        <v>0.05718669834</v>
      </c>
      <c r="M40" s="71" t="s">
        <v>252</v>
      </c>
      <c r="N40" s="68"/>
      <c r="O40" s="97">
        <f>I77</f>
        <v>0.8079949391</v>
      </c>
      <c r="P40" s="68"/>
      <c r="Q40" s="68"/>
      <c r="R40" s="68"/>
      <c r="S40" s="68"/>
      <c r="T40" s="68"/>
      <c r="U40" s="68"/>
    </row>
    <row r="41" ht="30.0" customHeight="1">
      <c r="B41" s="193"/>
      <c r="C41" s="193"/>
      <c r="D41" s="193"/>
      <c r="E41" s="193"/>
      <c r="F41" s="193"/>
      <c r="G41" s="194"/>
      <c r="H41" s="194"/>
      <c r="I41" s="195"/>
      <c r="J41" s="195"/>
      <c r="K41" s="195"/>
      <c r="L41" s="197"/>
      <c r="M41" s="90"/>
      <c r="N41" s="129"/>
      <c r="O41" s="26"/>
      <c r="Q41" s="198"/>
    </row>
    <row r="42" ht="16.5" customHeight="1">
      <c r="B42" s="193"/>
      <c r="C42" s="193"/>
      <c r="D42" s="193"/>
      <c r="E42" s="193"/>
      <c r="F42" s="193"/>
      <c r="G42" s="194"/>
      <c r="H42" s="194"/>
      <c r="I42" s="195"/>
      <c r="J42" s="195"/>
      <c r="K42" s="195"/>
      <c r="L42" s="197"/>
      <c r="M42" s="90"/>
      <c r="N42" s="129"/>
      <c r="O42" s="26"/>
      <c r="Q42" s="198"/>
    </row>
    <row r="43" ht="16.5" customHeight="1">
      <c r="B43" s="193"/>
      <c r="C43" s="193"/>
      <c r="D43" s="193"/>
      <c r="E43" s="193"/>
      <c r="F43" s="193"/>
      <c r="G43" s="194"/>
      <c r="H43" s="194"/>
      <c r="I43" s="195"/>
      <c r="J43" s="195"/>
      <c r="K43" s="195"/>
      <c r="L43" s="197"/>
      <c r="M43" s="90"/>
      <c r="N43" s="129"/>
      <c r="O43" s="26"/>
      <c r="Q43" s="198"/>
    </row>
    <row r="44" ht="16.5" customHeight="1">
      <c r="A44" s="47"/>
      <c r="B44" s="43"/>
      <c r="C44" s="44"/>
      <c r="D44" s="43"/>
      <c r="E44" s="43"/>
      <c r="F44" s="43"/>
      <c r="G44" s="43"/>
      <c r="H44" s="43"/>
      <c r="I44" s="43"/>
      <c r="J44" s="43"/>
      <c r="K44" s="43"/>
      <c r="L44" s="43"/>
      <c r="M44" s="43"/>
      <c r="N44" s="43"/>
      <c r="O44" s="45"/>
      <c r="P44" s="43"/>
      <c r="Q44" s="47"/>
      <c r="R44" s="46"/>
      <c r="S44" s="47"/>
    </row>
    <row r="45" ht="16.5" customHeight="1">
      <c r="A45" s="47"/>
      <c r="B45" s="49" t="s">
        <v>75</v>
      </c>
      <c r="C45" s="50"/>
      <c r="D45" s="51"/>
      <c r="E45" s="51"/>
      <c r="F45" s="51"/>
      <c r="G45" s="51"/>
      <c r="H45" s="51"/>
      <c r="I45" s="51"/>
      <c r="J45" s="51"/>
      <c r="K45" s="51"/>
      <c r="L45" s="51"/>
      <c r="M45" s="51"/>
      <c r="N45" s="52" t="s">
        <v>76</v>
      </c>
      <c r="O45" s="52"/>
      <c r="P45" s="51"/>
      <c r="Q45" s="51"/>
      <c r="R45" s="53"/>
      <c r="S45" s="54"/>
    </row>
    <row r="46" ht="16.5" customHeight="1">
      <c r="A46" s="47"/>
      <c r="B46" s="49" t="s">
        <v>77</v>
      </c>
      <c r="C46" s="55" t="s">
        <v>78</v>
      </c>
      <c r="D46" s="56"/>
      <c r="E46" s="51"/>
      <c r="F46" s="51"/>
      <c r="G46" s="51"/>
      <c r="H46" s="51"/>
      <c r="I46" s="51"/>
      <c r="J46" s="51"/>
      <c r="K46" s="51"/>
      <c r="L46" s="51"/>
      <c r="M46" s="51"/>
      <c r="N46" s="57" t="s">
        <v>79</v>
      </c>
      <c r="O46" s="57"/>
      <c r="P46" s="51"/>
      <c r="Q46" s="51"/>
      <c r="R46" s="53"/>
      <c r="S46" s="54"/>
    </row>
    <row r="47" ht="16.5" customHeight="1">
      <c r="A47" s="47"/>
      <c r="B47" s="51"/>
      <c r="C47" s="52"/>
      <c r="D47" s="56"/>
      <c r="E47" s="51"/>
      <c r="F47" s="51"/>
      <c r="G47" s="51"/>
      <c r="H47" s="51"/>
      <c r="I47" s="51"/>
      <c r="J47" s="51"/>
      <c r="K47" s="51"/>
      <c r="L47" s="51"/>
      <c r="M47" s="51"/>
      <c r="N47" s="57" t="s">
        <v>80</v>
      </c>
      <c r="O47" s="57"/>
      <c r="P47" s="51"/>
      <c r="Q47" s="51"/>
      <c r="R47" s="53"/>
      <c r="S47" s="54"/>
    </row>
    <row r="48" ht="16.5" customHeight="1">
      <c r="A48" s="33"/>
      <c r="B48" s="33"/>
      <c r="C48" s="46"/>
      <c r="D48" s="33"/>
      <c r="E48" s="33"/>
      <c r="F48" s="33"/>
      <c r="G48" s="33"/>
      <c r="H48" s="33"/>
      <c r="I48" s="33"/>
      <c r="J48" s="33"/>
      <c r="K48" s="33"/>
      <c r="L48" s="33"/>
      <c r="M48" s="33"/>
      <c r="N48" s="33"/>
      <c r="O48" s="33"/>
      <c r="P48" s="33"/>
      <c r="Q48" s="33"/>
      <c r="R48" s="46"/>
      <c r="S48" s="33"/>
    </row>
    <row r="49" ht="15.75" customHeight="1">
      <c r="O49" s="199"/>
      <c r="P49" s="199"/>
      <c r="R49" s="199"/>
      <c r="S49" s="199"/>
    </row>
    <row r="50" ht="15.75" customHeight="1">
      <c r="O50" s="199"/>
      <c r="P50" s="199"/>
      <c r="R50" s="199"/>
      <c r="S50" s="199"/>
    </row>
    <row r="51" ht="18.75" customHeight="1">
      <c r="A51" s="200"/>
      <c r="B51" s="201" t="s">
        <v>253</v>
      </c>
      <c r="C51" s="201"/>
      <c r="D51" s="202"/>
      <c r="E51" s="202"/>
      <c r="F51" s="202"/>
      <c r="G51" s="203"/>
      <c r="H51" s="203"/>
      <c r="I51" s="204"/>
      <c r="J51" s="199"/>
      <c r="K51" s="199"/>
      <c r="L51" s="205"/>
      <c r="O51" s="199"/>
      <c r="P51" s="199"/>
      <c r="Q51" s="199"/>
      <c r="R51" s="199"/>
      <c r="T51" s="206"/>
      <c r="U51" s="206"/>
    </row>
    <row r="52" ht="15.75" customHeight="1">
      <c r="B52" s="33"/>
      <c r="C52" s="199"/>
      <c r="D52" s="199"/>
      <c r="E52" s="207"/>
      <c r="F52" s="207"/>
      <c r="G52" s="213"/>
      <c r="H52" s="213"/>
      <c r="I52" s="264"/>
      <c r="J52" s="207"/>
      <c r="K52" s="207"/>
      <c r="L52" s="207"/>
      <c r="M52" s="207"/>
      <c r="N52" s="207"/>
      <c r="O52" s="207"/>
      <c r="P52" s="207"/>
      <c r="Q52" s="199"/>
      <c r="R52" s="199"/>
      <c r="T52" s="206"/>
      <c r="U52" s="206"/>
    </row>
    <row r="53" ht="15.75" customHeight="1">
      <c r="B53" s="229" t="s">
        <v>254</v>
      </c>
      <c r="C53" s="199"/>
      <c r="D53" s="199"/>
      <c r="E53" s="207"/>
      <c r="F53" s="207"/>
      <c r="G53" s="208"/>
      <c r="H53" s="208" t="s">
        <v>170</v>
      </c>
      <c r="I53" s="209">
        <f>D18</f>
        <v>1.3992</v>
      </c>
      <c r="J53" s="210" t="s">
        <v>171</v>
      </c>
      <c r="K53" s="211"/>
      <c r="L53" s="211"/>
      <c r="M53" s="207"/>
      <c r="N53" s="207"/>
      <c r="O53" s="207"/>
      <c r="P53" s="207"/>
      <c r="Q53" s="199"/>
      <c r="R53" s="199"/>
      <c r="T53" s="206"/>
      <c r="U53" s="206"/>
    </row>
    <row r="54" ht="15.75" customHeight="1">
      <c r="B54" s="33"/>
      <c r="C54" s="199"/>
      <c r="D54" s="199"/>
      <c r="E54" s="207"/>
      <c r="F54" s="207"/>
      <c r="G54" s="213"/>
      <c r="H54" s="208" t="s">
        <v>172</v>
      </c>
      <c r="I54" s="209">
        <f>if($D$12="Lourde",lookup($D$8,Reference!$B$37:$B$42,Reference!$I$37:$I$42),lookup($D$8,Reference!$B$37:$B$42,Reference!$J$37:$J$42))</f>
        <v>0.94</v>
      </c>
      <c r="J54" s="210" t="s">
        <v>173</v>
      </c>
      <c r="K54" s="207"/>
      <c r="L54" s="207"/>
      <c r="M54" s="207"/>
      <c r="N54" s="207"/>
      <c r="O54" s="207"/>
      <c r="P54" s="207"/>
      <c r="Q54" s="199"/>
      <c r="R54" s="199"/>
      <c r="T54" s="206"/>
      <c r="U54" s="206"/>
      <c r="V54" s="206"/>
    </row>
    <row r="55" ht="15.75" customHeight="1">
      <c r="B55" s="33"/>
      <c r="C55" s="199"/>
      <c r="D55" s="199"/>
      <c r="E55" s="207"/>
      <c r="F55" s="207"/>
      <c r="G55" s="213"/>
      <c r="H55" s="208" t="s">
        <v>174</v>
      </c>
      <c r="I55" s="209">
        <f>if($D$12="Lourde",lookup($D$8,Reference!$B$37:$B$42,Reference!$G$37:$G$42),lookup($D$8,Reference!$B$37:$B$42,Reference!$H$37:$H$42))</f>
        <v>1</v>
      </c>
      <c r="J55" s="210" t="s">
        <v>175</v>
      </c>
      <c r="K55" s="207"/>
      <c r="L55" s="207"/>
      <c r="M55" s="207"/>
      <c r="N55" s="207"/>
      <c r="O55" s="207"/>
      <c r="P55" s="207"/>
      <c r="Q55" s="199"/>
      <c r="R55" s="199"/>
      <c r="T55" s="206"/>
      <c r="U55" s="206"/>
      <c r="V55" s="206"/>
    </row>
    <row r="56" ht="15.75" customHeight="1">
      <c r="B56" s="33"/>
      <c r="C56" s="199"/>
      <c r="D56" s="199"/>
      <c r="E56" s="207"/>
      <c r="F56" s="207"/>
      <c r="G56" s="208"/>
      <c r="H56" s="208" t="s">
        <v>176</v>
      </c>
      <c r="I56" s="228">
        <v>1.333</v>
      </c>
      <c r="J56" s="210" t="s">
        <v>177</v>
      </c>
      <c r="K56" s="207"/>
      <c r="L56" s="207"/>
      <c r="M56" s="207"/>
      <c r="N56" s="207"/>
      <c r="O56" s="207"/>
      <c r="P56" s="207"/>
      <c r="Q56" s="199"/>
      <c r="R56" s="199"/>
      <c r="T56" s="206"/>
      <c r="U56" s="206"/>
      <c r="V56" s="206"/>
    </row>
    <row r="57" ht="15.75" customHeight="1">
      <c r="B57" s="33"/>
      <c r="C57" s="199"/>
      <c r="D57" s="199"/>
      <c r="E57" s="207"/>
      <c r="F57" s="207"/>
      <c r="G57" s="208"/>
      <c r="H57" s="208" t="s">
        <v>178</v>
      </c>
      <c r="I57" s="228">
        <f>lookup($D$8,Reference!$B$37:$B$42,Reference!$F$37:$F$42)</f>
        <v>1.14</v>
      </c>
      <c r="J57" s="210" t="s">
        <v>179</v>
      </c>
      <c r="K57" s="207"/>
      <c r="L57" s="207"/>
      <c r="M57" s="207"/>
      <c r="N57" s="207"/>
      <c r="O57" s="207"/>
      <c r="P57" s="207"/>
      <c r="Q57" s="199"/>
      <c r="R57" s="199"/>
      <c r="T57" s="206"/>
      <c r="U57" s="206"/>
      <c r="V57" s="206"/>
    </row>
    <row r="58" ht="15.75" customHeight="1">
      <c r="B58" s="33"/>
      <c r="C58" s="199"/>
      <c r="D58" s="199"/>
      <c r="E58" s="207"/>
      <c r="F58" s="207"/>
      <c r="G58" s="208"/>
      <c r="H58" s="208" t="s">
        <v>180</v>
      </c>
      <c r="I58" s="216">
        <v>0.438</v>
      </c>
      <c r="J58" s="210" t="s">
        <v>181</v>
      </c>
      <c r="K58" s="207"/>
      <c r="L58" s="207"/>
      <c r="M58" s="207"/>
      <c r="N58" s="207"/>
      <c r="O58" s="207"/>
      <c r="P58" s="207"/>
      <c r="Q58" s="199"/>
      <c r="R58" s="199"/>
      <c r="T58" s="206"/>
      <c r="U58" s="206"/>
      <c r="V58" s="206"/>
    </row>
    <row r="59" ht="15.75" customHeight="1">
      <c r="B59" s="33"/>
      <c r="C59" s="199"/>
      <c r="D59" s="199"/>
      <c r="E59" s="207"/>
      <c r="F59" s="207"/>
      <c r="G59" s="208"/>
      <c r="H59" s="208" t="s">
        <v>182</v>
      </c>
      <c r="I59" s="217">
        <v>7.5735</v>
      </c>
      <c r="J59" s="218" t="s">
        <v>183</v>
      </c>
      <c r="K59" s="219">
        <f>I59*20.885</f>
        <v>158.1725475</v>
      </c>
      <c r="L59" s="211" t="s">
        <v>184</v>
      </c>
      <c r="M59" s="207"/>
      <c r="N59" s="72"/>
      <c r="O59" s="207"/>
      <c r="P59" s="207"/>
      <c r="Q59" s="199"/>
      <c r="R59" s="199"/>
      <c r="T59" s="206"/>
      <c r="U59" s="206"/>
      <c r="V59" s="206"/>
    </row>
    <row r="60" ht="15.75" customHeight="1">
      <c r="B60" s="33"/>
      <c r="C60" s="199"/>
      <c r="D60" s="199"/>
      <c r="E60" s="207"/>
      <c r="F60" s="207"/>
      <c r="G60" s="208"/>
      <c r="H60" s="208" t="s">
        <v>185</v>
      </c>
      <c r="I60" s="220">
        <v>6.9</v>
      </c>
      <c r="J60" s="221" t="s">
        <v>186</v>
      </c>
      <c r="K60" s="222">
        <f>I60*145.038</f>
        <v>1000.7622</v>
      </c>
      <c r="L60" s="223" t="s">
        <v>187</v>
      </c>
      <c r="M60" s="223" t="s">
        <v>231</v>
      </c>
      <c r="N60" s="72"/>
      <c r="O60" s="224"/>
      <c r="P60" s="224"/>
      <c r="Q60" s="33"/>
      <c r="R60" s="199"/>
      <c r="T60" s="206"/>
      <c r="U60" s="206"/>
      <c r="V60" s="206"/>
    </row>
    <row r="61" ht="15.75" customHeight="1">
      <c r="B61" s="33"/>
      <c r="C61" s="199"/>
      <c r="D61" s="199"/>
      <c r="E61" s="207"/>
      <c r="F61" s="207"/>
      <c r="G61" s="208"/>
      <c r="H61" s="208" t="s">
        <v>189</v>
      </c>
      <c r="I61" s="225">
        <f>0.1868*sqrt(I60)*1000</f>
        <v>490.683458</v>
      </c>
      <c r="J61" s="221" t="s">
        <v>183</v>
      </c>
      <c r="K61" s="222">
        <f>2.25*sqrt(K60)</f>
        <v>71.17835793</v>
      </c>
      <c r="L61" s="223" t="s">
        <v>187</v>
      </c>
      <c r="M61" s="223" t="s">
        <v>232</v>
      </c>
      <c r="N61" s="72"/>
      <c r="O61" s="223"/>
      <c r="P61" s="223"/>
      <c r="Q61" s="33"/>
      <c r="R61" s="199"/>
      <c r="T61" s="206"/>
      <c r="U61" s="206"/>
      <c r="V61" s="206"/>
    </row>
    <row r="62" ht="15.75" customHeight="1">
      <c r="E62" s="72"/>
      <c r="F62" s="72"/>
      <c r="G62" s="226"/>
      <c r="H62" s="226" t="s">
        <v>191</v>
      </c>
      <c r="I62" s="220">
        <v>0.8</v>
      </c>
      <c r="J62" s="221"/>
      <c r="K62" s="227"/>
      <c r="L62" s="227"/>
      <c r="M62" s="223" t="s">
        <v>192</v>
      </c>
      <c r="N62" s="72"/>
      <c r="O62" s="72"/>
      <c r="P62" s="72"/>
      <c r="T62" s="206"/>
      <c r="U62" s="206"/>
      <c r="V62" s="206"/>
    </row>
    <row r="63" ht="15.75" customHeight="1">
      <c r="B63" s="33"/>
      <c r="C63" s="199"/>
      <c r="D63" s="199"/>
      <c r="E63" s="207"/>
      <c r="F63" s="207"/>
      <c r="G63" s="208"/>
      <c r="H63" s="208" t="s">
        <v>193</v>
      </c>
      <c r="I63" s="225">
        <f>I61*I62</f>
        <v>392.5467664</v>
      </c>
      <c r="J63" s="218" t="s">
        <v>183</v>
      </c>
      <c r="K63" s="223"/>
      <c r="L63" s="223"/>
      <c r="M63" s="224"/>
      <c r="N63" s="224"/>
      <c r="O63" s="223"/>
      <c r="P63" s="223"/>
      <c r="Q63" s="33"/>
      <c r="R63" s="199"/>
      <c r="T63" s="206"/>
      <c r="U63" s="206"/>
      <c r="V63" s="206"/>
    </row>
    <row r="64" ht="15.75" customHeight="1">
      <c r="B64" s="33"/>
      <c r="C64" s="199"/>
      <c r="D64" s="199"/>
      <c r="E64" s="207"/>
      <c r="F64" s="207"/>
      <c r="G64" s="208"/>
      <c r="H64" s="208" t="s">
        <v>194</v>
      </c>
      <c r="I64" s="228">
        <v>1.5</v>
      </c>
      <c r="J64" s="210" t="s">
        <v>195</v>
      </c>
      <c r="K64" s="207"/>
      <c r="L64" s="207"/>
      <c r="M64" s="207"/>
      <c r="N64" s="207"/>
      <c r="O64" s="207"/>
      <c r="P64" s="207"/>
      <c r="Q64" s="199"/>
      <c r="R64" s="199"/>
      <c r="T64" s="206"/>
      <c r="U64" s="206"/>
      <c r="V64" s="206"/>
    </row>
    <row r="65" ht="15.75" customHeight="1">
      <c r="B65" s="33"/>
      <c r="C65" s="199"/>
      <c r="D65" s="199"/>
      <c r="E65" s="207"/>
      <c r="F65" s="207"/>
      <c r="G65" s="208"/>
      <c r="H65" s="208" t="s">
        <v>196</v>
      </c>
      <c r="I65" s="209">
        <v>3.0</v>
      </c>
      <c r="J65" s="210"/>
      <c r="K65" s="207"/>
      <c r="L65" s="207"/>
      <c r="M65" s="207"/>
      <c r="N65" s="207"/>
      <c r="O65" s="207"/>
      <c r="P65" s="207"/>
      <c r="Q65" s="199"/>
      <c r="R65" s="199"/>
      <c r="T65" s="206"/>
      <c r="U65" s="206"/>
      <c r="V65" s="206"/>
    </row>
    <row r="66" ht="15.75" customHeight="1">
      <c r="C66" s="199"/>
      <c r="D66" s="199"/>
      <c r="E66" s="207"/>
      <c r="F66" s="207"/>
      <c r="G66" s="213"/>
      <c r="H66" s="213"/>
      <c r="I66" s="209"/>
      <c r="J66" s="210"/>
      <c r="K66" s="207"/>
      <c r="L66" s="207"/>
      <c r="M66" s="207"/>
      <c r="N66" s="207"/>
      <c r="O66" s="207"/>
      <c r="P66" s="72"/>
      <c r="T66" s="206"/>
      <c r="U66" s="206"/>
      <c r="V66" s="206"/>
    </row>
    <row r="67" ht="18.0" customHeight="1">
      <c r="B67" s="229" t="s">
        <v>197</v>
      </c>
      <c r="C67" s="199"/>
      <c r="D67" s="230"/>
      <c r="E67" s="231"/>
      <c r="F67" s="231"/>
      <c r="G67" s="231"/>
      <c r="H67" s="231" t="s">
        <v>198</v>
      </c>
      <c r="I67" s="232">
        <f>$D$9*I59*I54*$R$15</f>
        <v>1153.719725</v>
      </c>
      <c r="J67" s="233" t="s">
        <v>199</v>
      </c>
      <c r="K67" s="234" t="s">
        <v>200</v>
      </c>
      <c r="L67" s="72"/>
      <c r="M67" s="207"/>
      <c r="N67" s="207"/>
      <c r="O67" s="207"/>
      <c r="P67" s="72"/>
      <c r="T67" s="206"/>
      <c r="U67" s="206"/>
      <c r="V67" s="206"/>
    </row>
    <row r="68" ht="18.0" customHeight="1">
      <c r="B68" s="32"/>
      <c r="C68" s="199"/>
      <c r="D68" s="230"/>
      <c r="E68" s="231"/>
      <c r="F68" s="231"/>
      <c r="G68" s="231"/>
      <c r="H68" s="231" t="s">
        <v>201</v>
      </c>
      <c r="I68" s="232">
        <f>I67*I53*I55/I65</f>
        <v>538.0948799</v>
      </c>
      <c r="J68" s="233" t="s">
        <v>199</v>
      </c>
      <c r="K68" s="234" t="s">
        <v>233</v>
      </c>
      <c r="L68" s="72"/>
      <c r="M68" s="207"/>
      <c r="N68" s="207"/>
      <c r="O68" s="207"/>
      <c r="P68" s="72"/>
      <c r="T68" s="206"/>
      <c r="U68" s="206"/>
      <c r="V68" s="206"/>
    </row>
    <row r="69" ht="18.0" customHeight="1">
      <c r="B69" s="33"/>
      <c r="C69" s="199"/>
      <c r="D69" s="235"/>
      <c r="E69" s="236"/>
      <c r="F69" s="236"/>
      <c r="G69" s="231"/>
      <c r="H69" s="231" t="s">
        <v>203</v>
      </c>
      <c r="I69" s="232">
        <f>I63*I56*I57/I64</f>
        <v>397.6812781</v>
      </c>
      <c r="J69" s="233" t="s">
        <v>183</v>
      </c>
      <c r="K69" s="234" t="s">
        <v>204</v>
      </c>
      <c r="L69" s="72"/>
      <c r="M69" s="207"/>
      <c r="N69" s="207"/>
      <c r="O69" s="207"/>
      <c r="P69" s="72"/>
      <c r="T69" s="206"/>
      <c r="U69" s="206"/>
      <c r="V69" s="206"/>
    </row>
    <row r="70" ht="18.0" customHeight="1">
      <c r="B70" s="33"/>
      <c r="C70" s="199"/>
      <c r="D70" s="235"/>
      <c r="E70" s="236"/>
      <c r="F70" s="236"/>
      <c r="G70" s="231"/>
      <c r="H70" s="231" t="s">
        <v>205</v>
      </c>
      <c r="I70" s="214">
        <f>I68/I69</f>
        <v>1.353080745</v>
      </c>
      <c r="J70" s="233" t="s">
        <v>87</v>
      </c>
      <c r="K70" s="234" t="s">
        <v>206</v>
      </c>
      <c r="L70" s="72"/>
      <c r="M70" s="207"/>
      <c r="N70" s="207"/>
      <c r="O70" s="207"/>
      <c r="P70" s="72"/>
      <c r="T70" s="206"/>
      <c r="U70" s="206"/>
      <c r="V70" s="206"/>
    </row>
    <row r="71" ht="18.0" customHeight="1">
      <c r="B71" s="33"/>
      <c r="C71" s="199"/>
      <c r="D71" s="230"/>
      <c r="E71" s="231"/>
      <c r="F71" s="231"/>
      <c r="G71" s="231"/>
      <c r="H71" s="231" t="s">
        <v>207</v>
      </c>
      <c r="I71" s="214">
        <f>I70/$I$58</f>
        <v>3.089225444</v>
      </c>
      <c r="J71" s="233" t="s">
        <v>87</v>
      </c>
      <c r="K71" s="234" t="s">
        <v>208</v>
      </c>
      <c r="L71" s="72"/>
      <c r="M71" s="207"/>
      <c r="N71" s="207"/>
      <c r="O71" s="207"/>
      <c r="P71" s="72"/>
      <c r="T71" s="206"/>
      <c r="U71" s="206"/>
      <c r="V71" s="206"/>
    </row>
    <row r="72" ht="18.0" customHeight="1">
      <c r="B72" s="33"/>
      <c r="C72" s="199"/>
      <c r="D72" s="235"/>
      <c r="E72" s="236"/>
      <c r="F72" s="236"/>
      <c r="G72" s="231"/>
      <c r="H72" s="231" t="s">
        <v>209</v>
      </c>
      <c r="I72" s="237">
        <f>I71/$P$7</f>
        <v>0.05718669834</v>
      </c>
      <c r="J72" s="238"/>
      <c r="K72" s="234" t="s">
        <v>210</v>
      </c>
      <c r="L72" s="72"/>
      <c r="M72" s="207"/>
      <c r="N72" s="207"/>
      <c r="O72" s="207"/>
      <c r="P72" s="207"/>
      <c r="Q72" s="199"/>
      <c r="R72" s="199"/>
      <c r="T72" s="206"/>
      <c r="U72" s="206"/>
      <c r="V72" s="206"/>
    </row>
    <row r="73" ht="18.0" customHeight="1">
      <c r="B73" s="33"/>
      <c r="C73" s="199"/>
      <c r="D73" s="199"/>
      <c r="E73" s="207"/>
      <c r="F73" s="207"/>
      <c r="G73" s="208"/>
      <c r="H73" s="208" t="s">
        <v>211</v>
      </c>
      <c r="I73" s="239">
        <f>I59*$D$9*I54*I53*I55*I64/(I65*I62*I61*I56*I57*I58)</f>
        <v>0.05718669834</v>
      </c>
      <c r="J73" s="240" t="s">
        <v>212</v>
      </c>
      <c r="K73" s="241" t="s">
        <v>213</v>
      </c>
      <c r="L73" s="72"/>
      <c r="M73" s="207"/>
      <c r="N73" s="207"/>
      <c r="O73" s="207"/>
      <c r="P73" s="242"/>
      <c r="Q73" s="199"/>
      <c r="R73" s="199"/>
      <c r="T73" s="206"/>
      <c r="U73" s="206"/>
      <c r="V73" s="206"/>
    </row>
    <row r="74" ht="18.0" customHeight="1">
      <c r="B74" s="33"/>
      <c r="C74" s="199"/>
      <c r="D74" s="199"/>
      <c r="E74" s="207"/>
      <c r="F74" s="207"/>
      <c r="G74" s="213"/>
      <c r="H74" s="208" t="s">
        <v>214</v>
      </c>
      <c r="I74" s="239">
        <f>MAX(0.01,0.0075*I53)*(1.33/$I$56)</f>
        <v>0.0104703826</v>
      </c>
      <c r="J74" s="210" t="s">
        <v>215</v>
      </c>
      <c r="K74" s="207"/>
      <c r="L74" s="207"/>
      <c r="M74" s="207"/>
      <c r="N74" s="72"/>
      <c r="O74" s="72"/>
      <c r="P74" s="72"/>
      <c r="T74" s="206"/>
      <c r="U74" s="206"/>
      <c r="V74" s="206"/>
    </row>
    <row r="75" ht="18.0" customHeight="1">
      <c r="B75" s="199"/>
      <c r="C75" s="199"/>
      <c r="D75" s="199"/>
      <c r="E75" s="207"/>
      <c r="F75" s="207"/>
      <c r="G75" s="213"/>
      <c r="H75" s="208" t="s">
        <v>216</v>
      </c>
      <c r="I75" s="239">
        <f>max(I74,I73)</f>
        <v>0.05718669834</v>
      </c>
      <c r="J75" s="210" t="s">
        <v>217</v>
      </c>
      <c r="K75" s="207"/>
      <c r="L75" s="207"/>
      <c r="M75" s="207"/>
      <c r="N75" s="207"/>
      <c r="O75" s="211"/>
      <c r="P75" s="207"/>
      <c r="T75" s="206"/>
      <c r="U75" s="206"/>
      <c r="V75" s="206"/>
    </row>
    <row r="76" ht="22.5" customHeight="1">
      <c r="B76" s="33"/>
      <c r="C76" s="58"/>
      <c r="D76" s="47"/>
      <c r="E76" s="224"/>
      <c r="F76" s="224"/>
      <c r="G76" s="72"/>
      <c r="H76" s="72"/>
      <c r="I76" s="224"/>
      <c r="J76" s="224"/>
      <c r="K76" s="207"/>
      <c r="L76" s="207"/>
      <c r="M76" s="207"/>
      <c r="N76" s="207"/>
      <c r="O76" s="207"/>
      <c r="P76" s="207"/>
      <c r="U76" s="243"/>
    </row>
    <row r="77" ht="18.0" customHeight="1">
      <c r="B77" s="244" t="s">
        <v>218</v>
      </c>
      <c r="D77" s="245"/>
      <c r="E77" s="246"/>
      <c r="F77" s="224"/>
      <c r="G77" s="231"/>
      <c r="H77" s="231" t="s">
        <v>219</v>
      </c>
      <c r="I77" s="209">
        <f>IF(ISERROR(I75/L39),"",I75/L39)</f>
        <v>0.8079949391</v>
      </c>
      <c r="J77" s="247" t="str">
        <f t="shared" ref="J77:J78" si="12">IF(I77="","",IF(I77&lt;=1,"OK","NG"))</f>
        <v>OK</v>
      </c>
      <c r="K77" s="211" t="s">
        <v>220</v>
      </c>
      <c r="L77" s="72"/>
      <c r="M77" s="207"/>
      <c r="N77" s="207"/>
      <c r="O77" s="207"/>
      <c r="P77" s="207"/>
      <c r="T77" s="248"/>
      <c r="U77" s="205"/>
    </row>
    <row r="78" ht="18.0" customHeight="1">
      <c r="B78" s="244" t="s">
        <v>221</v>
      </c>
      <c r="C78" s="249"/>
      <c r="D78" s="246"/>
      <c r="E78" s="246"/>
      <c r="F78" s="224"/>
      <c r="G78" s="231"/>
      <c r="H78" s="231" t="s">
        <v>219</v>
      </c>
      <c r="I78" s="209">
        <f>max(T38)</f>
        <v>0.8079949391</v>
      </c>
      <c r="J78" s="247" t="str">
        <f t="shared" si="12"/>
        <v>OK</v>
      </c>
      <c r="K78" s="211" t="s">
        <v>222</v>
      </c>
      <c r="L78" s="72"/>
      <c r="M78" s="207"/>
      <c r="N78" s="207"/>
      <c r="O78" s="207"/>
      <c r="P78" s="72"/>
      <c r="T78" s="248"/>
      <c r="U78" s="205"/>
      <c r="V78" s="205"/>
    </row>
    <row r="79" ht="18.0" customHeight="1">
      <c r="B79" s="244" t="s">
        <v>223</v>
      </c>
      <c r="C79" s="249"/>
      <c r="D79" s="249"/>
      <c r="E79" s="250"/>
      <c r="F79" s="72"/>
      <c r="G79" s="226"/>
      <c r="H79" s="226"/>
      <c r="J79" s="251" t="str">
        <f>U38</f>
        <v>OK</v>
      </c>
      <c r="K79" s="252" t="s">
        <v>224</v>
      </c>
      <c r="L79" s="72"/>
      <c r="M79" s="72"/>
      <c r="N79" s="72"/>
      <c r="O79" s="72"/>
      <c r="P79" s="72"/>
      <c r="V79" s="206"/>
    </row>
    <row r="80" ht="32.25" customHeight="1">
      <c r="V80" s="206"/>
    </row>
    <row r="81" ht="34.5" customHeight="1">
      <c r="V81" s="206"/>
    </row>
    <row r="82" ht="33.75" customHeight="1">
      <c r="V82" s="206"/>
    </row>
    <row r="83" ht="18.0" customHeight="1">
      <c r="V83" s="206"/>
    </row>
    <row r="84" ht="30.75" customHeight="1">
      <c r="V84" s="206"/>
    </row>
    <row r="85" ht="18.0" customHeight="1">
      <c r="V85" s="206"/>
    </row>
    <row r="86" ht="15.75" customHeight="1">
      <c r="A86" s="43"/>
      <c r="B86" s="49" t="s">
        <v>75</v>
      </c>
      <c r="C86" s="50"/>
      <c r="D86" s="51"/>
      <c r="E86" s="51"/>
      <c r="F86" s="51"/>
      <c r="G86" s="51"/>
      <c r="H86" s="51"/>
      <c r="I86" s="51"/>
      <c r="J86" s="51"/>
      <c r="K86" s="51"/>
      <c r="L86" s="51"/>
      <c r="M86" s="51"/>
      <c r="N86" s="52" t="s">
        <v>76</v>
      </c>
      <c r="O86" s="52"/>
      <c r="P86" s="51"/>
      <c r="Q86" s="51"/>
      <c r="R86" s="53"/>
      <c r="S86" s="54"/>
    </row>
    <row r="87" ht="15.75" customHeight="1">
      <c r="A87" s="43"/>
      <c r="B87" s="49" t="s">
        <v>77</v>
      </c>
      <c r="C87" s="55" t="s">
        <v>78</v>
      </c>
      <c r="D87" s="56"/>
      <c r="E87" s="51"/>
      <c r="F87" s="51"/>
      <c r="G87" s="51"/>
      <c r="H87" s="51"/>
      <c r="I87" s="51"/>
      <c r="J87" s="51"/>
      <c r="K87" s="51"/>
      <c r="L87" s="51"/>
      <c r="M87" s="51"/>
      <c r="N87" s="57" t="s">
        <v>79</v>
      </c>
      <c r="O87" s="57"/>
      <c r="P87" s="51"/>
      <c r="Q87" s="51"/>
      <c r="R87" s="53"/>
      <c r="S87" s="54"/>
    </row>
    <row r="88" ht="15.75" customHeight="1">
      <c r="A88" s="43"/>
      <c r="B88" s="51"/>
      <c r="C88" s="52"/>
      <c r="D88" s="56"/>
      <c r="E88" s="51"/>
      <c r="F88" s="51"/>
      <c r="G88" s="51"/>
      <c r="H88" s="51"/>
      <c r="I88" s="51"/>
      <c r="J88" s="51"/>
      <c r="K88" s="51"/>
      <c r="L88" s="51"/>
      <c r="M88" s="51"/>
      <c r="N88" s="57" t="s">
        <v>80</v>
      </c>
      <c r="O88" s="57"/>
      <c r="P88" s="51"/>
      <c r="Q88" s="51"/>
      <c r="R88" s="53"/>
      <c r="S88" s="54"/>
    </row>
    <row r="89" ht="15.75" customHeight="1">
      <c r="A89" s="43"/>
      <c r="B89" s="43"/>
      <c r="C89" s="45"/>
      <c r="D89" s="43"/>
      <c r="E89" s="43"/>
      <c r="F89" s="43"/>
      <c r="G89" s="43"/>
      <c r="H89" s="43"/>
      <c r="I89" s="43"/>
      <c r="J89" s="43"/>
      <c r="K89" s="43"/>
      <c r="L89" s="43"/>
      <c r="M89" s="43"/>
      <c r="N89" s="43"/>
      <c r="O89" s="43"/>
      <c r="P89" s="43"/>
      <c r="Q89" s="43"/>
      <c r="R89" s="46"/>
      <c r="S89" s="33"/>
    </row>
    <row r="90" ht="33.75" customHeight="1">
      <c r="A90" s="43"/>
      <c r="B90" s="43"/>
      <c r="C90" s="45"/>
      <c r="D90" s="43"/>
      <c r="E90" s="43"/>
      <c r="F90" s="43"/>
      <c r="G90" s="43"/>
      <c r="H90" s="43"/>
      <c r="K90" s="98" t="s">
        <v>225</v>
      </c>
      <c r="L90" s="253"/>
      <c r="M90" s="43"/>
      <c r="N90" s="43"/>
      <c r="O90" s="43"/>
      <c r="P90" s="43"/>
      <c r="Q90" s="43"/>
      <c r="R90" s="46"/>
      <c r="S90" s="33"/>
    </row>
    <row r="91" ht="15.75" customHeight="1">
      <c r="A91" s="43"/>
      <c r="B91" s="43"/>
      <c r="C91" s="45"/>
      <c r="D91" s="43"/>
      <c r="E91" s="43"/>
      <c r="F91" s="43"/>
      <c r="G91" s="43"/>
      <c r="H91" s="43"/>
      <c r="I91" s="43"/>
      <c r="J91" s="43"/>
      <c r="K91" s="43"/>
      <c r="L91" s="43"/>
      <c r="M91" s="43"/>
      <c r="N91" s="43"/>
      <c r="O91" s="43"/>
      <c r="P91" s="43"/>
      <c r="Q91" s="43"/>
      <c r="R91" s="46"/>
      <c r="S91" s="33"/>
    </row>
    <row r="92" ht="15.75" customHeight="1">
      <c r="A92" s="58"/>
      <c r="B92" s="59" t="s">
        <v>81</v>
      </c>
      <c r="C92" s="60"/>
      <c r="D92" s="61"/>
      <c r="E92" s="61" t="s">
        <v>82</v>
      </c>
      <c r="F92" s="61"/>
      <c r="G92" s="60"/>
      <c r="H92" s="60"/>
      <c r="I92" s="43"/>
      <c r="J92" s="58"/>
      <c r="K92" s="62"/>
      <c r="L92" s="62"/>
      <c r="M92" s="62"/>
      <c r="N92" s="58"/>
      <c r="O92" s="58"/>
      <c r="R92" s="58"/>
    </row>
    <row r="93" ht="15.75" customHeight="1">
      <c r="A93" s="66"/>
      <c r="B93" s="67" t="s">
        <v>85</v>
      </c>
      <c r="C93" s="68"/>
      <c r="D93" s="68"/>
      <c r="E93" s="68"/>
      <c r="F93" s="68"/>
      <c r="G93" s="68"/>
      <c r="H93" s="68"/>
      <c r="I93" s="68"/>
      <c r="J93" s="5"/>
      <c r="K93" s="69"/>
      <c r="N93" s="68"/>
      <c r="O93" s="70" t="s">
        <v>86</v>
      </c>
      <c r="P93" s="276">
        <f>'WAP for Y-AXIS Walls'!P7</f>
        <v>54.02</v>
      </c>
      <c r="Q93" s="71" t="s">
        <v>87</v>
      </c>
      <c r="R93" s="71"/>
      <c r="S93" s="68"/>
      <c r="T93" s="68"/>
      <c r="U93" s="72"/>
    </row>
    <row r="94" ht="15.75" customHeight="1">
      <c r="A94" s="73"/>
      <c r="B94" s="74"/>
      <c r="C94" s="70" t="s">
        <v>88</v>
      </c>
      <c r="D94" s="277">
        <f>'WAP for Y-AXIS Walls'!D94</f>
        <v>2.3</v>
      </c>
      <c r="E94" s="43" t="str">
        <f>lookup($D$94,Reference!$B$37:$B$42,Reference!$M$37:$M$42)</f>
        <v>Deuxième de trois étages</v>
      </c>
      <c r="F94" s="43"/>
      <c r="G94" s="43"/>
      <c r="H94" s="43"/>
      <c r="I94" s="68"/>
      <c r="J94" s="65"/>
      <c r="L94" s="76"/>
      <c r="N94" s="68"/>
      <c r="O94" s="77" t="s">
        <v>89</v>
      </c>
      <c r="P94" s="276">
        <f>'WAP for Y-AXIS Walls'!P8</f>
        <v>14.6</v>
      </c>
      <c r="Q94" s="71" t="s">
        <v>87</v>
      </c>
      <c r="R94" s="71"/>
      <c r="S94" s="68"/>
      <c r="T94" s="68"/>
      <c r="U94" s="72"/>
    </row>
    <row r="95" ht="15.75" customHeight="1">
      <c r="A95" s="74"/>
      <c r="B95" s="43"/>
      <c r="C95" s="78" t="s">
        <v>226</v>
      </c>
      <c r="D95" s="79">
        <f>'WAP for Y-AXIS Walls'!D95</f>
        <v>3</v>
      </c>
      <c r="E95" s="80" t="s">
        <v>255</v>
      </c>
      <c r="F95" s="80"/>
      <c r="G95" s="80"/>
      <c r="H95" s="80"/>
      <c r="I95" s="43"/>
      <c r="J95" s="65"/>
      <c r="L95" s="76"/>
      <c r="N95" s="68"/>
      <c r="O95" s="77" t="s">
        <v>92</v>
      </c>
      <c r="P95" s="276">
        <f>'WAP for Y-AXIS Walls'!P9</f>
        <v>3.7</v>
      </c>
      <c r="Q95" s="71" t="s">
        <v>87</v>
      </c>
      <c r="R95" s="71"/>
      <c r="S95" s="68"/>
      <c r="T95" s="68"/>
      <c r="U95" s="72"/>
    </row>
    <row r="96" ht="15.75" customHeight="1">
      <c r="A96" s="67"/>
      <c r="B96" s="68"/>
      <c r="C96" s="77" t="s">
        <v>93</v>
      </c>
      <c r="D96" s="79">
        <f>'WAP for Y-AXIS Walls'!D96</f>
        <v>2</v>
      </c>
      <c r="E96" s="68" t="str">
        <f>lookup($D$94,Reference!$B$37:$B$42,Reference!$E$37:$E$42)</f>
        <v>Niveau intermédiaire</v>
      </c>
      <c r="F96" s="68"/>
      <c r="G96" s="68"/>
      <c r="H96" s="68"/>
      <c r="I96" s="68"/>
      <c r="J96" s="85"/>
      <c r="L96" s="82"/>
      <c r="N96" s="68"/>
      <c r="O96" s="68"/>
      <c r="P96" s="68"/>
      <c r="Q96" s="43"/>
      <c r="R96" s="43"/>
      <c r="S96" s="43"/>
      <c r="T96" s="43"/>
    </row>
    <row r="97" ht="15.75" customHeight="1">
      <c r="A97" s="254"/>
      <c r="B97" s="254"/>
      <c r="C97" s="63" t="s">
        <v>94</v>
      </c>
      <c r="D97" s="79">
        <f>'WAP for Y-AXIS Walls'!D97</f>
        <v>2.9</v>
      </c>
      <c r="E97" s="68"/>
      <c r="J97" s="85"/>
      <c r="L97" s="84"/>
      <c r="N97" s="68"/>
      <c r="O97" s="68"/>
      <c r="P97" s="68"/>
      <c r="Q97" s="43"/>
      <c r="R97" s="43"/>
      <c r="S97" s="43"/>
      <c r="T97" s="43"/>
    </row>
    <row r="98" ht="15.75" customHeight="1">
      <c r="A98" s="43"/>
      <c r="B98" s="74"/>
      <c r="C98" s="70" t="s">
        <v>95</v>
      </c>
      <c r="D98" s="79" t="str">
        <f>'WAP for Y-AXIS Walls'!D98</f>
        <v>Lourde</v>
      </c>
      <c r="E98" s="43"/>
      <c r="F98" s="33"/>
      <c r="G98" s="33"/>
      <c r="H98" s="33"/>
      <c r="I98" s="33"/>
      <c r="J98" s="85"/>
      <c r="K98" s="85"/>
      <c r="L98" s="84"/>
      <c r="N98" s="68"/>
      <c r="O98" s="68"/>
      <c r="P98" s="68"/>
      <c r="Q98" s="43"/>
      <c r="R98" s="43"/>
      <c r="S98" s="43"/>
      <c r="T98" s="43"/>
    </row>
    <row r="99" ht="15.75" customHeight="1">
      <c r="A99" s="43"/>
      <c r="B99" s="43"/>
      <c r="C99" s="78" t="s">
        <v>97</v>
      </c>
      <c r="D99" s="278" t="str">
        <f>'WAP for Y-AXIS Walls'!D99</f>
        <v>B</v>
      </c>
      <c r="E99" s="80"/>
      <c r="F99" s="32"/>
      <c r="G99" s="87"/>
      <c r="H99" s="87"/>
      <c r="I99" s="33"/>
      <c r="J99" s="85"/>
      <c r="K99" s="85"/>
      <c r="L99" s="84"/>
      <c r="N99" s="68"/>
      <c r="O99" s="88" t="s">
        <v>99</v>
      </c>
      <c r="P99" s="48"/>
      <c r="Q99" s="43"/>
      <c r="R99" s="80" t="s">
        <v>227</v>
      </c>
      <c r="S99" s="43"/>
      <c r="T99" s="43"/>
      <c r="U99" s="72"/>
    </row>
    <row r="100" ht="15.75" customHeight="1">
      <c r="A100" s="43"/>
      <c r="B100" s="43"/>
      <c r="C100" s="70" t="s">
        <v>101</v>
      </c>
      <c r="D100" s="278">
        <f>'WAP for Y-AXIS Walls'!D100</f>
        <v>1.1</v>
      </c>
      <c r="E100" s="80"/>
      <c r="F100" s="32"/>
      <c r="G100" s="33"/>
      <c r="H100" s="33"/>
      <c r="I100" s="33"/>
      <c r="J100" s="85"/>
      <c r="K100" s="85"/>
      <c r="L100" s="84"/>
      <c r="N100" s="68"/>
      <c r="O100" s="70" t="s">
        <v>237</v>
      </c>
      <c r="P100" s="91">
        <f>P95/P94</f>
        <v>0.2534246575</v>
      </c>
      <c r="Q100" s="43"/>
      <c r="R100" s="43"/>
      <c r="S100" s="92"/>
      <c r="T100" s="43"/>
      <c r="U100" s="72"/>
    </row>
    <row r="101" ht="15.75" customHeight="1">
      <c r="A101" s="68"/>
      <c r="B101" s="43"/>
      <c r="C101" s="70" t="s">
        <v>103</v>
      </c>
      <c r="D101" s="278" t="str">
        <f>'WAP for Y-AXIS Walls'!D101</f>
        <v>D</v>
      </c>
      <c r="E101" s="80"/>
      <c r="F101" s="32"/>
      <c r="G101" s="33"/>
      <c r="H101" s="33"/>
      <c r="I101" s="33"/>
      <c r="J101" s="93"/>
      <c r="N101" s="68"/>
      <c r="O101" s="70"/>
      <c r="P101" s="45"/>
      <c r="Q101" s="80" t="s">
        <v>228</v>
      </c>
      <c r="R101" s="92">
        <f>'WAP for Y-AXIS Walls'!R15</f>
        <v>54.02</v>
      </c>
      <c r="S101" s="92"/>
      <c r="T101" s="94">
        <f>'WAP for Y-AXIS Walls'!T15</f>
        <v>3.7</v>
      </c>
      <c r="U101" s="72"/>
    </row>
    <row r="102" ht="15.75" customHeight="1">
      <c r="A102" s="68"/>
      <c r="B102" s="68"/>
      <c r="C102" s="71" t="s">
        <v>107</v>
      </c>
      <c r="D102" s="79">
        <f>'WAP for Y-AXIS Walls'!D102</f>
        <v>1.59</v>
      </c>
      <c r="E102" s="68"/>
      <c r="N102" s="68"/>
      <c r="O102" s="43"/>
      <c r="P102" s="45"/>
      <c r="Q102" s="43"/>
      <c r="R102" s="256" t="s">
        <v>256</v>
      </c>
      <c r="T102" s="43"/>
      <c r="U102" s="72"/>
    </row>
    <row r="103" ht="15.75" customHeight="1">
      <c r="A103" s="43"/>
      <c r="B103" s="68"/>
      <c r="C103" s="71" t="s">
        <v>109</v>
      </c>
      <c r="D103" s="79">
        <f>'WAP for Y-AXIS Walls'!D103</f>
        <v>1.2</v>
      </c>
      <c r="E103" s="68"/>
      <c r="N103" s="68"/>
      <c r="O103" s="43"/>
      <c r="P103" s="43"/>
      <c r="Q103" s="43"/>
      <c r="R103" s="92">
        <f>'WAP for Y-AXIS Walls'!R17</f>
        <v>14.6</v>
      </c>
      <c r="S103" s="92"/>
      <c r="T103" s="43"/>
      <c r="U103" s="72"/>
    </row>
    <row r="104" ht="15.75" customHeight="1">
      <c r="A104" s="68"/>
      <c r="B104" s="68"/>
      <c r="C104" s="71" t="s">
        <v>110</v>
      </c>
      <c r="D104" s="278">
        <f>'WAP for Y-AXIS Walls'!D104</f>
        <v>1.3992</v>
      </c>
      <c r="E104" s="68"/>
      <c r="N104" s="72"/>
      <c r="O104" s="72"/>
      <c r="P104" s="72"/>
      <c r="Q104" s="72"/>
      <c r="R104" s="72"/>
      <c r="S104" s="72"/>
      <c r="T104" s="72"/>
      <c r="U104" s="72"/>
    </row>
    <row r="105" ht="15.75" customHeight="1"/>
    <row r="106" ht="15.75" customHeight="1"/>
    <row r="107" ht="15.75" customHeight="1">
      <c r="A107" s="99"/>
      <c r="B107" s="100" t="s">
        <v>112</v>
      </c>
      <c r="C107" s="101" t="s">
        <v>113</v>
      </c>
      <c r="D107" s="101" t="s">
        <v>114</v>
      </c>
      <c r="E107" s="101"/>
      <c r="F107" s="102"/>
      <c r="G107" s="103"/>
      <c r="H107" s="102" t="s">
        <v>115</v>
      </c>
      <c r="I107" s="102"/>
      <c r="J107" s="101"/>
      <c r="K107" s="101" t="s">
        <v>116</v>
      </c>
      <c r="L107" s="101" t="s">
        <v>117</v>
      </c>
      <c r="M107" s="104" t="s">
        <v>118</v>
      </c>
      <c r="N107" s="101"/>
      <c r="O107" s="105"/>
      <c r="P107" s="105"/>
      <c r="Q107" s="101"/>
      <c r="R107" s="106"/>
      <c r="S107" s="107"/>
      <c r="T107" s="107"/>
      <c r="U107" s="108"/>
    </row>
    <row r="108" ht="15.75" customHeight="1">
      <c r="A108" s="99"/>
      <c r="B108" s="109"/>
      <c r="C108" s="110"/>
      <c r="D108" s="111" t="s">
        <v>119</v>
      </c>
      <c r="E108" s="111" t="s">
        <v>120</v>
      </c>
      <c r="F108" s="111" t="s">
        <v>121</v>
      </c>
      <c r="G108" s="112" t="s">
        <v>122</v>
      </c>
      <c r="H108" s="111" t="s">
        <v>123</v>
      </c>
      <c r="I108" s="111" t="s">
        <v>124</v>
      </c>
      <c r="J108" s="111" t="s">
        <v>125</v>
      </c>
      <c r="K108" s="111" t="s">
        <v>126</v>
      </c>
      <c r="L108" s="111" t="s">
        <v>127</v>
      </c>
      <c r="M108" s="113" t="s">
        <v>128</v>
      </c>
      <c r="N108" s="111" t="s">
        <v>129</v>
      </c>
      <c r="O108" s="111" t="s">
        <v>123</v>
      </c>
      <c r="P108" s="110" t="s">
        <v>130</v>
      </c>
      <c r="Q108" s="111" t="s">
        <v>131</v>
      </c>
      <c r="R108" s="114" t="s">
        <v>132</v>
      </c>
      <c r="S108" s="115"/>
      <c r="T108" s="115"/>
      <c r="U108" s="116"/>
    </row>
    <row r="109" ht="15.75" customHeight="1">
      <c r="A109" s="99"/>
      <c r="B109" s="117"/>
      <c r="C109" s="118"/>
      <c r="D109" s="111" t="s">
        <v>133</v>
      </c>
      <c r="E109" s="111" t="s">
        <v>134</v>
      </c>
      <c r="F109" s="115" t="s">
        <v>135</v>
      </c>
      <c r="G109" s="116" t="s">
        <v>136</v>
      </c>
      <c r="H109" s="111" t="s">
        <v>137</v>
      </c>
      <c r="I109" s="111" t="s">
        <v>138</v>
      </c>
      <c r="J109" s="111" t="s">
        <v>139</v>
      </c>
      <c r="K109" s="111" t="s">
        <v>137</v>
      </c>
      <c r="L109" s="111" t="s">
        <v>140</v>
      </c>
      <c r="M109" s="113" t="s">
        <v>141</v>
      </c>
      <c r="N109" s="111" t="s">
        <v>142</v>
      </c>
      <c r="O109" s="111" t="s">
        <v>143</v>
      </c>
      <c r="P109" s="115" t="s">
        <v>144</v>
      </c>
      <c r="Q109" s="111" t="s">
        <v>145</v>
      </c>
      <c r="R109" s="115" t="s">
        <v>146</v>
      </c>
      <c r="S109" s="115" t="s">
        <v>147</v>
      </c>
      <c r="T109" s="115" t="s">
        <v>148</v>
      </c>
      <c r="U109" s="116" t="s">
        <v>149</v>
      </c>
    </row>
    <row r="110">
      <c r="A110" s="99"/>
      <c r="B110" s="119"/>
      <c r="C110" s="120"/>
      <c r="D110" s="121" t="s">
        <v>134</v>
      </c>
      <c r="E110" s="121"/>
      <c r="F110" s="120"/>
      <c r="G110" s="122"/>
      <c r="H110" s="123" t="s">
        <v>150</v>
      </c>
      <c r="I110" s="123" t="s">
        <v>151</v>
      </c>
      <c r="J110" s="120"/>
      <c r="K110" s="124" t="s">
        <v>152</v>
      </c>
      <c r="L110" s="125" t="s">
        <v>153</v>
      </c>
      <c r="M110" s="126" t="s">
        <v>154</v>
      </c>
      <c r="N110" s="125" t="s">
        <v>155</v>
      </c>
      <c r="O110" s="124" t="s">
        <v>156</v>
      </c>
      <c r="P110" s="121"/>
      <c r="Q110" s="125"/>
      <c r="R110" s="127"/>
      <c r="S110" s="127"/>
      <c r="T110" s="121" t="s">
        <v>157</v>
      </c>
      <c r="U110" s="128"/>
    </row>
    <row r="111" ht="15.75" customHeight="1">
      <c r="A111" s="129"/>
      <c r="B111" s="268" t="s">
        <v>239</v>
      </c>
      <c r="C111" s="279" t="s">
        <v>240</v>
      </c>
      <c r="D111" s="286">
        <v>1.3</v>
      </c>
      <c r="E111" s="286">
        <v>0.2</v>
      </c>
      <c r="F111" s="285">
        <v>10.0</v>
      </c>
      <c r="G111" s="287">
        <v>0.414</v>
      </c>
      <c r="H111" s="135">
        <f t="shared" ref="H111:H115" si="13">D111*0.15</f>
        <v>0.195</v>
      </c>
      <c r="I111" s="135">
        <f t="shared" ref="I111:I115" si="14">G111*E111/$I$144/0.15</f>
        <v>1.260273973</v>
      </c>
      <c r="J111" s="135">
        <f t="shared" ref="J111:J115" si="15">sqrt(F111/6.9)</f>
        <v>1.203858531</v>
      </c>
      <c r="K111" s="136">
        <f t="shared" ref="K111:K115" si="16">I111*J111</f>
        <v>1.517191573</v>
      </c>
      <c r="L111" s="137">
        <f t="shared" ref="L111:L115" si="17">H111*K111</f>
        <v>0.2958523568</v>
      </c>
      <c r="M111" s="138"/>
      <c r="N111" s="139"/>
      <c r="O111" s="140"/>
      <c r="P111" s="141"/>
      <c r="Q111" s="142"/>
      <c r="R111" s="143"/>
      <c r="S111" s="143"/>
      <c r="T111" s="144"/>
      <c r="U111" s="145"/>
    </row>
    <row r="112" ht="15.75" customHeight="1">
      <c r="A112" s="129"/>
      <c r="B112" s="268" t="s">
        <v>239</v>
      </c>
      <c r="C112" s="279" t="s">
        <v>241</v>
      </c>
      <c r="D112" s="286">
        <v>1.9</v>
      </c>
      <c r="E112" s="286">
        <v>0.2</v>
      </c>
      <c r="F112" s="285">
        <v>10.0</v>
      </c>
      <c r="G112" s="287">
        <v>0.414</v>
      </c>
      <c r="H112" s="135">
        <f t="shared" si="13"/>
        <v>0.285</v>
      </c>
      <c r="I112" s="135">
        <f t="shared" si="14"/>
        <v>1.260273973</v>
      </c>
      <c r="J112" s="135">
        <f t="shared" si="15"/>
        <v>1.203858531</v>
      </c>
      <c r="K112" s="136">
        <f t="shared" si="16"/>
        <v>1.517191573</v>
      </c>
      <c r="L112" s="137">
        <f t="shared" si="17"/>
        <v>0.4323995983</v>
      </c>
      <c r="M112" s="138"/>
      <c r="N112" s="139"/>
      <c r="O112" s="140"/>
      <c r="P112" s="141"/>
      <c r="Q112" s="142"/>
      <c r="R112" s="143"/>
      <c r="S112" s="143"/>
      <c r="T112" s="144"/>
      <c r="U112" s="145"/>
    </row>
    <row r="113" ht="15.75" customHeight="1">
      <c r="A113" s="129"/>
      <c r="B113" s="268" t="s">
        <v>239</v>
      </c>
      <c r="C113" s="279" t="s">
        <v>242</v>
      </c>
      <c r="D113" s="286">
        <v>0.0</v>
      </c>
      <c r="E113" s="286">
        <v>0.15</v>
      </c>
      <c r="F113" s="285">
        <v>6.9</v>
      </c>
      <c r="G113" s="287">
        <v>0.438</v>
      </c>
      <c r="H113" s="135">
        <f t="shared" si="13"/>
        <v>0</v>
      </c>
      <c r="I113" s="135">
        <f t="shared" si="14"/>
        <v>1</v>
      </c>
      <c r="J113" s="135">
        <f t="shared" si="15"/>
        <v>1</v>
      </c>
      <c r="K113" s="136">
        <f t="shared" si="16"/>
        <v>1</v>
      </c>
      <c r="L113" s="137">
        <f t="shared" si="17"/>
        <v>0</v>
      </c>
      <c r="M113" s="138"/>
      <c r="N113" s="139"/>
      <c r="O113" s="140"/>
      <c r="P113" s="141"/>
      <c r="Q113" s="142"/>
      <c r="R113" s="143"/>
      <c r="S113" s="143"/>
      <c r="T113" s="144"/>
      <c r="U113" s="145"/>
    </row>
    <row r="114" ht="15.75" customHeight="1">
      <c r="A114" s="129"/>
      <c r="B114" s="268" t="s">
        <v>239</v>
      </c>
      <c r="C114" s="279" t="s">
        <v>243</v>
      </c>
      <c r="D114" s="286">
        <v>1.9</v>
      </c>
      <c r="E114" s="286">
        <v>0.2</v>
      </c>
      <c r="F114" s="285">
        <v>10.0</v>
      </c>
      <c r="G114" s="287">
        <v>0.414</v>
      </c>
      <c r="H114" s="135">
        <f t="shared" si="13"/>
        <v>0.285</v>
      </c>
      <c r="I114" s="135">
        <f t="shared" si="14"/>
        <v>1.260273973</v>
      </c>
      <c r="J114" s="135">
        <f t="shared" si="15"/>
        <v>1.203858531</v>
      </c>
      <c r="K114" s="136">
        <f t="shared" si="16"/>
        <v>1.517191573</v>
      </c>
      <c r="L114" s="137">
        <f t="shared" si="17"/>
        <v>0.4323995983</v>
      </c>
      <c r="M114" s="138"/>
      <c r="N114" s="139"/>
      <c r="O114" s="140"/>
      <c r="P114" s="153"/>
      <c r="Q114" s="142"/>
      <c r="R114" s="143"/>
      <c r="S114" s="143"/>
      <c r="T114" s="144"/>
      <c r="U114" s="145"/>
    </row>
    <row r="115" ht="15.75" customHeight="1">
      <c r="A115" s="129"/>
      <c r="B115" s="268" t="s">
        <v>239</v>
      </c>
      <c r="C115" s="279" t="s">
        <v>244</v>
      </c>
      <c r="D115" s="286">
        <v>1.3</v>
      </c>
      <c r="E115" s="286">
        <v>0.2</v>
      </c>
      <c r="F115" s="285">
        <v>10.0</v>
      </c>
      <c r="G115" s="287">
        <v>0.414</v>
      </c>
      <c r="H115" s="135">
        <f t="shared" si="13"/>
        <v>0.195</v>
      </c>
      <c r="I115" s="135">
        <f t="shared" si="14"/>
        <v>1.260273973</v>
      </c>
      <c r="J115" s="135">
        <f t="shared" si="15"/>
        <v>1.203858531</v>
      </c>
      <c r="K115" s="136">
        <f t="shared" si="16"/>
        <v>1.517191573</v>
      </c>
      <c r="L115" s="137">
        <f t="shared" si="17"/>
        <v>0.2958523568</v>
      </c>
      <c r="M115" s="151"/>
      <c r="N115" s="139"/>
      <c r="O115" s="140"/>
      <c r="P115" s="141"/>
      <c r="Q115" s="142"/>
      <c r="R115" s="143"/>
      <c r="S115" s="143"/>
      <c r="T115" s="144"/>
      <c r="U115" s="145"/>
    </row>
    <row r="116" ht="15.75" customHeight="1">
      <c r="A116" s="129"/>
      <c r="B116" s="268" t="s">
        <v>239</v>
      </c>
      <c r="C116" s="281"/>
      <c r="D116" s="286"/>
      <c r="E116" s="286"/>
      <c r="F116" s="285"/>
      <c r="G116" s="287"/>
      <c r="H116" s="135"/>
      <c r="I116" s="135"/>
      <c r="J116" s="135"/>
      <c r="K116" s="136"/>
      <c r="L116" s="137"/>
      <c r="M116" s="151" t="s">
        <v>141</v>
      </c>
      <c r="N116" s="137">
        <f>SUM(L111:L115)</f>
        <v>1.45650391</v>
      </c>
      <c r="O116" s="140">
        <f>P93/2</f>
        <v>27.01</v>
      </c>
      <c r="P116" s="141">
        <f>N116/O116</f>
        <v>0.05392461719</v>
      </c>
      <c r="Q116" s="142">
        <f>P116/$I$161</f>
        <v>1.123297681</v>
      </c>
      <c r="R116" s="143">
        <f>IF(D$98="Légère",IF($M116="Exterieur",VLOOKUP(D$94,Reference!$B$37:$Y$42,13,0),VLOOKUP(D$94,Reference!$B$37:$Y$42,15,0)),IF(P$100&gt;3,IF($M30="Exterieur",VLOOKUP(D$94,Reference!$B$37:$Y$42,21,0),VLOOKUP(D$94,Reference!$B$37:$Y$42,23,0)),IF($M30="Exterieur",VLOOKUP(D$94,Reference!$B$37:$Y$42,17,0),VLOOKUP(D$94,Reference!$B$37:$Y$42,19,0))))</f>
        <v>1</v>
      </c>
      <c r="S116" s="143">
        <f>IF(D$98="Légère",IF($M116="Exterieur",VLOOKUP(D$94,Reference!$B$37:$Y$42,14,0),VLOOKUP(D$94,Reference!$B$37:$Y$42,16,0)),IF(P$100&gt;3,IF($M30="Exterieur",VLOOKUP(D$94,Reference!$B$37:$Y$42,22,0),VLOOKUP(D$94,Reference!$B$37:$Y$42,24,0)),IF($M116="Exterieur",VLOOKUP(D$94,Reference!$B$37:$Y$42,18,0),VLOOKUP(D$94,Reference!$B$37:$Y$42,20,0))))</f>
        <v>3</v>
      </c>
      <c r="T116" s="144">
        <f>R116/Q116</f>
        <v>0.8902359695</v>
      </c>
      <c r="U116" s="145" t="str">
        <f>if(and(Q116&gt;=R116,Q116&lt;=S116),"OK","NG")</f>
        <v>OK</v>
      </c>
    </row>
    <row r="117" ht="15.75" customHeight="1">
      <c r="A117" s="129"/>
      <c r="B117" s="268" t="s">
        <v>98</v>
      </c>
      <c r="C117" s="279" t="s">
        <v>245</v>
      </c>
      <c r="D117" s="286">
        <v>1.3</v>
      </c>
      <c r="E117" s="286">
        <v>0.2</v>
      </c>
      <c r="F117" s="285">
        <v>10.0</v>
      </c>
      <c r="G117" s="287">
        <v>0.414</v>
      </c>
      <c r="H117" s="135">
        <f t="shared" ref="H117:H121" si="18">D117*0.15</f>
        <v>0.195</v>
      </c>
      <c r="I117" s="135">
        <f t="shared" ref="I117:I121" si="19">G117*E117/$I$144/0.15</f>
        <v>1.260273973</v>
      </c>
      <c r="J117" s="135">
        <f t="shared" ref="J117:J121" si="20">sqrt(F117/6.9)</f>
        <v>1.203858531</v>
      </c>
      <c r="K117" s="136">
        <f t="shared" ref="K117:K121" si="21">I117*J117</f>
        <v>1.517191573</v>
      </c>
      <c r="L117" s="137">
        <f t="shared" ref="L117:L121" si="22">H117*K117</f>
        <v>0.2958523568</v>
      </c>
      <c r="M117" s="282"/>
      <c r="O117" s="283"/>
      <c r="R117" s="143"/>
      <c r="S117" s="143"/>
      <c r="U117" s="284"/>
    </row>
    <row r="118" ht="15.75" customHeight="1">
      <c r="A118" s="129"/>
      <c r="B118" s="268" t="s">
        <v>98</v>
      </c>
      <c r="C118" s="279" t="s">
        <v>246</v>
      </c>
      <c r="D118" s="286">
        <v>1.9</v>
      </c>
      <c r="E118" s="286">
        <v>0.2</v>
      </c>
      <c r="F118" s="285">
        <v>10.0</v>
      </c>
      <c r="G118" s="287">
        <v>0.414</v>
      </c>
      <c r="H118" s="135">
        <f t="shared" si="18"/>
        <v>0.285</v>
      </c>
      <c r="I118" s="135">
        <f t="shared" si="19"/>
        <v>1.260273973</v>
      </c>
      <c r="J118" s="135">
        <f t="shared" si="20"/>
        <v>1.203858531</v>
      </c>
      <c r="K118" s="136">
        <f t="shared" si="21"/>
        <v>1.517191573</v>
      </c>
      <c r="L118" s="137">
        <f t="shared" si="22"/>
        <v>0.4323995983</v>
      </c>
      <c r="M118" s="138"/>
      <c r="N118" s="139"/>
      <c r="O118" s="140"/>
      <c r="P118" s="153"/>
      <c r="Q118" s="142"/>
      <c r="R118" s="143"/>
      <c r="S118" s="143"/>
      <c r="T118" s="144"/>
      <c r="U118" s="145"/>
    </row>
    <row r="119" ht="15.75" customHeight="1">
      <c r="A119" s="129"/>
      <c r="B119" s="268" t="s">
        <v>98</v>
      </c>
      <c r="C119" s="279" t="s">
        <v>247</v>
      </c>
      <c r="D119" s="286">
        <v>0.0</v>
      </c>
      <c r="E119" s="286">
        <v>0.15</v>
      </c>
      <c r="F119" s="285">
        <v>6.9</v>
      </c>
      <c r="G119" s="287">
        <v>0.438</v>
      </c>
      <c r="H119" s="135">
        <f t="shared" si="18"/>
        <v>0</v>
      </c>
      <c r="I119" s="135">
        <f t="shared" si="19"/>
        <v>1</v>
      </c>
      <c r="J119" s="135">
        <f t="shared" si="20"/>
        <v>1</v>
      </c>
      <c r="K119" s="136">
        <f t="shared" si="21"/>
        <v>1</v>
      </c>
      <c r="L119" s="137">
        <f t="shared" si="22"/>
        <v>0</v>
      </c>
      <c r="M119" s="138"/>
      <c r="N119" s="139"/>
      <c r="O119" s="140"/>
      <c r="P119" s="141"/>
      <c r="Q119" s="142"/>
      <c r="R119" s="143"/>
      <c r="S119" s="143"/>
      <c r="T119" s="144"/>
      <c r="U119" s="145"/>
    </row>
    <row r="120" ht="15.75" customHeight="1">
      <c r="A120" s="129"/>
      <c r="B120" s="268" t="s">
        <v>98</v>
      </c>
      <c r="C120" s="279" t="s">
        <v>248</v>
      </c>
      <c r="D120" s="286">
        <v>1.9</v>
      </c>
      <c r="E120" s="286">
        <v>0.2</v>
      </c>
      <c r="F120" s="285">
        <v>10.0</v>
      </c>
      <c r="G120" s="287">
        <v>0.414</v>
      </c>
      <c r="H120" s="135">
        <f t="shared" si="18"/>
        <v>0.285</v>
      </c>
      <c r="I120" s="135">
        <f t="shared" si="19"/>
        <v>1.260273973</v>
      </c>
      <c r="J120" s="135">
        <f t="shared" si="20"/>
        <v>1.203858531</v>
      </c>
      <c r="K120" s="136">
        <f t="shared" si="21"/>
        <v>1.517191573</v>
      </c>
      <c r="L120" s="137">
        <f t="shared" si="22"/>
        <v>0.4323995983</v>
      </c>
      <c r="M120" s="138"/>
      <c r="N120" s="139"/>
      <c r="O120" s="140"/>
      <c r="P120" s="153"/>
      <c r="Q120" s="142"/>
      <c r="R120" s="143"/>
      <c r="S120" s="143"/>
      <c r="T120" s="144"/>
      <c r="U120" s="145"/>
    </row>
    <row r="121" ht="15.75" customHeight="1">
      <c r="A121" s="129"/>
      <c r="B121" s="268" t="s">
        <v>98</v>
      </c>
      <c r="C121" s="279" t="s">
        <v>249</v>
      </c>
      <c r="D121" s="286">
        <v>1.3</v>
      </c>
      <c r="E121" s="286">
        <v>0.2</v>
      </c>
      <c r="F121" s="285">
        <v>10.0</v>
      </c>
      <c r="G121" s="287">
        <v>0.414</v>
      </c>
      <c r="H121" s="135">
        <f t="shared" si="18"/>
        <v>0.195</v>
      </c>
      <c r="I121" s="135">
        <f t="shared" si="19"/>
        <v>1.260273973</v>
      </c>
      <c r="J121" s="135">
        <f t="shared" si="20"/>
        <v>1.203858531</v>
      </c>
      <c r="K121" s="136">
        <f t="shared" si="21"/>
        <v>1.517191573</v>
      </c>
      <c r="L121" s="137">
        <f t="shared" si="22"/>
        <v>0.2958523568</v>
      </c>
      <c r="M121" s="138"/>
      <c r="N121" s="139"/>
      <c r="O121" s="140"/>
      <c r="P121" s="153"/>
      <c r="Q121" s="142"/>
      <c r="R121" s="143"/>
      <c r="S121" s="143"/>
      <c r="T121" s="144"/>
      <c r="U121" s="145"/>
    </row>
    <row r="122" ht="15.75" customHeight="1">
      <c r="A122" s="129"/>
      <c r="B122" s="268" t="s">
        <v>98</v>
      </c>
      <c r="C122" s="269"/>
      <c r="D122" s="152"/>
      <c r="E122" s="152"/>
      <c r="F122" s="270"/>
      <c r="G122" s="271"/>
      <c r="H122" s="135"/>
      <c r="I122" s="135"/>
      <c r="J122" s="155"/>
      <c r="K122" s="136"/>
      <c r="L122" s="137"/>
      <c r="M122" s="151" t="s">
        <v>141</v>
      </c>
      <c r="N122" s="137">
        <f>SUM(L117:L121)</f>
        <v>1.45650391</v>
      </c>
      <c r="O122" s="285">
        <f>P93/2</f>
        <v>27.01</v>
      </c>
      <c r="P122" s="141">
        <f>N122/O122</f>
        <v>0.05392461719</v>
      </c>
      <c r="Q122" s="142">
        <f>P122/$I$161</f>
        <v>1.123297681</v>
      </c>
      <c r="R122" s="143">
        <f>IF(D$98="Légère",IF($M122="Exterieur",VLOOKUP(D$94,Reference!$B$37:$Y$42,13,0),VLOOKUP(D$94,Reference!$B$37:$Y$42,15,0)),IF(P$100&gt;3,IF($M36="Exterieur",VLOOKUP(D$94,Reference!$B$37:$Y$42,21,0),VLOOKUP(D$94,Reference!$B$37:$Y$42,23,0)),IF($M36="Exterieur",VLOOKUP(D$94,Reference!$B$37:$Y$42,17,0),VLOOKUP(D$94,Reference!$B$37:$Y$42,19,0))))</f>
        <v>1</v>
      </c>
      <c r="S122" s="143">
        <f>IF(D$98="Légère",IF($M122="Exterieur",VLOOKUP(D$94,Reference!$B$37:$Y$42,14,0),VLOOKUP(D$94,Reference!$B$37:$Y$42,16,0)),IF(P$100&gt;3,IF($M36="Exterieur",VLOOKUP(D$94,Reference!$B$37:$Y$42,22,0),VLOOKUP(D$94,Reference!$B$37:$Y$42,24,0)),IF($M122="Exterieur",VLOOKUP(D$94,Reference!$B$37:$Y$42,18,0),VLOOKUP(D$94,Reference!$B$37:$Y$42,20,0))))</f>
        <v>3</v>
      </c>
      <c r="T122" s="144">
        <f>R122/Q122</f>
        <v>0.8902359695</v>
      </c>
      <c r="U122" s="145" t="str">
        <f>if(and(Q122&gt;=R122,Q122&lt;=S122),"OK","NG")</f>
        <v>OK</v>
      </c>
    </row>
    <row r="123" ht="15.75" customHeight="1">
      <c r="A123" s="129"/>
      <c r="B123" s="156"/>
      <c r="C123" s="157"/>
      <c r="D123" s="158"/>
      <c r="E123" s="158"/>
      <c r="F123" s="159"/>
      <c r="G123" s="160"/>
      <c r="H123" s="161"/>
      <c r="I123" s="161"/>
      <c r="J123" s="162"/>
      <c r="K123" s="163"/>
      <c r="L123" s="164"/>
      <c r="M123" s="165"/>
      <c r="N123" s="166"/>
      <c r="O123" s="167"/>
      <c r="P123" s="168"/>
      <c r="Q123" s="169"/>
      <c r="R123" s="170"/>
      <c r="S123" s="170"/>
      <c r="T123" s="171"/>
      <c r="U123" s="128"/>
    </row>
    <row r="124" ht="15.75" customHeight="1">
      <c r="B124" s="172" t="s">
        <v>159</v>
      </c>
      <c r="C124" s="173"/>
      <c r="D124" s="173"/>
      <c r="E124" s="173"/>
      <c r="F124" s="173"/>
      <c r="G124" s="263"/>
      <c r="H124" s="175"/>
      <c r="I124" s="175"/>
      <c r="J124" s="272"/>
      <c r="K124" s="176" t="s">
        <v>160</v>
      </c>
      <c r="L124" s="177">
        <f>SUM(L111:L123)</f>
        <v>2.91300782</v>
      </c>
      <c r="M124" s="178" t="s">
        <v>250</v>
      </c>
      <c r="N124" s="177">
        <f t="shared" ref="N124:O124" si="23">SUM(N111:N123)</f>
        <v>2.91300782</v>
      </c>
      <c r="O124" s="179">
        <f t="shared" si="23"/>
        <v>54.02</v>
      </c>
      <c r="P124" s="180">
        <f>N124/O124</f>
        <v>0.05392461719</v>
      </c>
      <c r="Q124" s="169">
        <f>P124/$I$75</f>
        <v>0.9429573442</v>
      </c>
      <c r="R124" s="181">
        <v>1.0</v>
      </c>
      <c r="S124" s="182" t="s">
        <v>162</v>
      </c>
      <c r="T124" s="183">
        <f>max(T111:T123)</f>
        <v>0.8902359695</v>
      </c>
      <c r="U124" s="128" t="str">
        <f>if(COUNTIF(U111:U123, "NG")&gt;0,"NG",if(P124&gt;=I161,"OK","NG"))</f>
        <v>OK</v>
      </c>
    </row>
    <row r="125" ht="15.75" customHeight="1">
      <c r="B125" s="184"/>
      <c r="C125" s="184"/>
      <c r="D125" s="184"/>
      <c r="E125" s="184"/>
      <c r="F125" s="184"/>
      <c r="G125" s="185"/>
      <c r="H125" s="185"/>
      <c r="I125" s="186"/>
      <c r="J125" s="187"/>
      <c r="K125" s="70" t="s">
        <v>163</v>
      </c>
      <c r="L125" s="188">
        <f>IF(ISERROR(L124/$R$101),"",L124/$R$101)</f>
        <v>0.05392461719</v>
      </c>
      <c r="M125" s="189" t="s">
        <v>164</v>
      </c>
      <c r="N125" s="186"/>
      <c r="O125" s="190">
        <f>R101</f>
        <v>54.02</v>
      </c>
      <c r="P125" s="191">
        <f>L125</f>
        <v>0.05392461719</v>
      </c>
      <c r="Q125" s="185" t="s">
        <v>165</v>
      </c>
      <c r="T125" s="68"/>
      <c r="U125" s="68"/>
      <c r="V125" s="68"/>
    </row>
    <row r="126" ht="15.75" customHeight="1">
      <c r="B126" s="184"/>
      <c r="C126" s="184"/>
      <c r="D126" s="184"/>
      <c r="E126" s="184"/>
      <c r="F126" s="184"/>
      <c r="G126" s="185"/>
      <c r="H126" s="185"/>
      <c r="I126" s="186"/>
      <c r="J126" s="187"/>
      <c r="K126" s="77" t="s">
        <v>166</v>
      </c>
      <c r="L126" s="192">
        <f>I161</f>
        <v>0.04800563386</v>
      </c>
      <c r="M126" s="71" t="s">
        <v>167</v>
      </c>
      <c r="N126" s="68"/>
      <c r="O126" s="97">
        <f>I163</f>
        <v>0.8902359695</v>
      </c>
      <c r="P126" s="68"/>
      <c r="Q126" s="68"/>
      <c r="T126" s="68"/>
      <c r="U126" s="68"/>
      <c r="V126" s="68"/>
    </row>
    <row r="127" ht="29.25" customHeight="1">
      <c r="B127" s="193"/>
      <c r="C127" s="193"/>
      <c r="D127" s="193"/>
      <c r="E127" s="193"/>
      <c r="F127" s="193"/>
      <c r="G127" s="194"/>
      <c r="H127" s="194"/>
      <c r="I127" s="195"/>
      <c r="J127" s="195"/>
      <c r="K127" s="195"/>
      <c r="L127" s="197"/>
      <c r="M127" s="90"/>
      <c r="N127" s="129"/>
      <c r="O127" s="26"/>
      <c r="Q127" s="198"/>
    </row>
    <row r="128" ht="21.75" customHeight="1">
      <c r="B128" s="193"/>
      <c r="C128" s="193"/>
      <c r="D128" s="193"/>
      <c r="E128" s="193"/>
      <c r="F128" s="193"/>
      <c r="G128" s="194"/>
      <c r="H128" s="194"/>
      <c r="I128" s="195"/>
      <c r="J128" s="195"/>
      <c r="K128" s="195"/>
      <c r="L128" s="197"/>
      <c r="M128" s="90"/>
      <c r="N128" s="129"/>
      <c r="O128" s="26"/>
      <c r="Q128" s="198"/>
    </row>
    <row r="129" ht="15.75" customHeight="1">
      <c r="B129" s="193"/>
      <c r="C129" s="193"/>
      <c r="D129" s="193"/>
      <c r="E129" s="193"/>
      <c r="F129" s="193"/>
      <c r="G129" s="194"/>
      <c r="H129" s="194"/>
      <c r="I129" s="195"/>
      <c r="J129" s="195"/>
      <c r="K129" s="195"/>
      <c r="L129" s="197"/>
      <c r="M129" s="90"/>
      <c r="N129" s="129"/>
      <c r="O129" s="26"/>
      <c r="Q129" s="198"/>
    </row>
    <row r="130" ht="15.75" customHeight="1">
      <c r="A130" s="47"/>
      <c r="B130" s="43"/>
      <c r="C130" s="44"/>
      <c r="D130" s="43"/>
      <c r="E130" s="43"/>
      <c r="F130" s="43"/>
      <c r="G130" s="43"/>
      <c r="H130" s="43"/>
      <c r="I130" s="43"/>
      <c r="J130" s="43"/>
      <c r="K130" s="43"/>
      <c r="L130" s="43"/>
      <c r="M130" s="43"/>
      <c r="N130" s="43"/>
      <c r="O130" s="45"/>
      <c r="P130" s="43"/>
      <c r="Q130" s="47"/>
      <c r="R130" s="46"/>
      <c r="S130" s="47"/>
    </row>
    <row r="131" ht="15.75" customHeight="1">
      <c r="A131" s="47"/>
      <c r="B131" s="49" t="s">
        <v>75</v>
      </c>
      <c r="C131" s="50"/>
      <c r="D131" s="51"/>
      <c r="E131" s="51"/>
      <c r="F131" s="51"/>
      <c r="G131" s="51"/>
      <c r="H131" s="51"/>
      <c r="I131" s="51"/>
      <c r="J131" s="51"/>
      <c r="K131" s="51"/>
      <c r="L131" s="51"/>
      <c r="M131" s="51"/>
      <c r="N131" s="52" t="s">
        <v>76</v>
      </c>
      <c r="O131" s="52"/>
      <c r="P131" s="51"/>
      <c r="Q131" s="51"/>
      <c r="R131" s="53"/>
      <c r="S131" s="54"/>
    </row>
    <row r="132" ht="15.75" customHeight="1">
      <c r="A132" s="47"/>
      <c r="B132" s="49" t="s">
        <v>77</v>
      </c>
      <c r="C132" s="55" t="s">
        <v>78</v>
      </c>
      <c r="D132" s="56"/>
      <c r="E132" s="51"/>
      <c r="F132" s="51"/>
      <c r="G132" s="51"/>
      <c r="H132" s="51"/>
      <c r="I132" s="51"/>
      <c r="J132" s="51"/>
      <c r="K132" s="51"/>
      <c r="L132" s="51"/>
      <c r="M132" s="51"/>
      <c r="N132" s="57" t="s">
        <v>79</v>
      </c>
      <c r="O132" s="57"/>
      <c r="P132" s="51"/>
      <c r="Q132" s="51"/>
      <c r="R132" s="53"/>
      <c r="S132" s="54"/>
    </row>
    <row r="133" ht="15.75" customHeight="1">
      <c r="A133" s="47"/>
      <c r="B133" s="51"/>
      <c r="C133" s="52"/>
      <c r="D133" s="56"/>
      <c r="E133" s="51"/>
      <c r="F133" s="51"/>
      <c r="G133" s="51"/>
      <c r="H133" s="51"/>
      <c r="I133" s="51"/>
      <c r="J133" s="51"/>
      <c r="K133" s="51"/>
      <c r="L133" s="51"/>
      <c r="M133" s="51"/>
      <c r="N133" s="57" t="s">
        <v>80</v>
      </c>
      <c r="O133" s="57"/>
      <c r="P133" s="51"/>
      <c r="Q133" s="51"/>
      <c r="R133" s="53"/>
      <c r="S133" s="54"/>
    </row>
    <row r="134" ht="15.75" customHeight="1">
      <c r="A134" s="33"/>
      <c r="B134" s="33"/>
      <c r="C134" s="46"/>
      <c r="D134" s="33"/>
      <c r="E134" s="33"/>
      <c r="F134" s="33"/>
      <c r="G134" s="33"/>
      <c r="H134" s="33"/>
      <c r="I134" s="33"/>
      <c r="J134" s="33"/>
      <c r="K134" s="33"/>
      <c r="L134" s="33"/>
      <c r="M134" s="33"/>
      <c r="N134" s="33"/>
      <c r="O134" s="33"/>
      <c r="P134" s="33"/>
      <c r="Q134" s="33"/>
      <c r="R134" s="46"/>
      <c r="S134" s="33"/>
    </row>
    <row r="135" ht="15.75" customHeight="1">
      <c r="A135" s="33"/>
      <c r="B135" s="33"/>
      <c r="C135" s="46"/>
      <c r="D135" s="33"/>
      <c r="E135" s="33"/>
      <c r="F135" s="33"/>
      <c r="G135" s="33"/>
      <c r="H135" s="33"/>
      <c r="I135" s="33"/>
      <c r="J135" s="33"/>
      <c r="K135" s="33"/>
      <c r="L135" s="33"/>
      <c r="M135" s="33"/>
      <c r="N135" s="33"/>
      <c r="O135" s="33"/>
      <c r="P135" s="33"/>
      <c r="Q135" s="33"/>
      <c r="R135" s="46"/>
      <c r="S135" s="33"/>
    </row>
    <row r="136" ht="15.75" customHeight="1">
      <c r="O136" s="199"/>
      <c r="P136" s="199"/>
      <c r="R136" s="199"/>
      <c r="S136" s="199"/>
    </row>
    <row r="137" ht="15.75" customHeight="1">
      <c r="A137" s="200"/>
      <c r="B137" s="201" t="s">
        <v>253</v>
      </c>
      <c r="C137" s="201"/>
      <c r="D137" s="202"/>
      <c r="E137" s="202"/>
      <c r="F137" s="202"/>
      <c r="G137" s="203"/>
      <c r="H137" s="203"/>
      <c r="I137" s="204"/>
      <c r="J137" s="199"/>
      <c r="K137" s="199"/>
      <c r="L137" s="205"/>
      <c r="O137" s="199"/>
      <c r="P137" s="199"/>
      <c r="Q137" s="199"/>
      <c r="R137" s="199"/>
      <c r="T137" s="206"/>
      <c r="U137" s="206"/>
    </row>
    <row r="138" ht="15.75" customHeight="1">
      <c r="B138" s="33"/>
      <c r="C138" s="199"/>
      <c r="D138" s="199"/>
      <c r="E138" s="207"/>
      <c r="F138" s="207"/>
      <c r="G138" s="213"/>
      <c r="H138" s="213"/>
      <c r="I138" s="264"/>
      <c r="J138" s="207"/>
      <c r="K138" s="207"/>
      <c r="L138" s="207"/>
      <c r="M138" s="207"/>
      <c r="N138" s="207"/>
      <c r="O138" s="207"/>
      <c r="P138" s="207"/>
      <c r="Q138" s="199"/>
      <c r="R138" s="199"/>
      <c r="T138" s="206"/>
      <c r="U138" s="206"/>
    </row>
    <row r="139" ht="15.75" customHeight="1">
      <c r="B139" s="229" t="s">
        <v>254</v>
      </c>
      <c r="C139" s="199"/>
      <c r="D139" s="199"/>
      <c r="E139" s="207"/>
      <c r="F139" s="207"/>
      <c r="G139" s="208"/>
      <c r="H139" s="208" t="s">
        <v>170</v>
      </c>
      <c r="I139" s="209">
        <f>D104</f>
        <v>1.3992</v>
      </c>
      <c r="J139" s="210" t="s">
        <v>171</v>
      </c>
      <c r="K139" s="211"/>
      <c r="L139" s="211"/>
      <c r="M139" s="207"/>
      <c r="N139" s="207"/>
      <c r="O139" s="207"/>
      <c r="P139" s="207"/>
      <c r="Q139" s="199"/>
      <c r="R139" s="199"/>
      <c r="T139" s="206"/>
      <c r="U139" s="206"/>
    </row>
    <row r="140" ht="15.75" customHeight="1">
      <c r="B140" s="33"/>
      <c r="C140" s="199"/>
      <c r="D140" s="199"/>
      <c r="E140" s="207"/>
      <c r="F140" s="207"/>
      <c r="G140" s="213"/>
      <c r="H140" s="208" t="s">
        <v>172</v>
      </c>
      <c r="I140" s="209">
        <f>if($D$98="Lourde",lookup($D$94,Reference!$B$37:$B$42,Reference!$I$37:$I$42),lookup($D$94,Reference!$B$37:$B$42,Reference!$J$37:$J$42))</f>
        <v>0.94</v>
      </c>
      <c r="J140" s="210" t="s">
        <v>173</v>
      </c>
      <c r="K140" s="207"/>
      <c r="L140" s="207"/>
      <c r="M140" s="207"/>
      <c r="N140" s="207"/>
      <c r="O140" s="207"/>
      <c r="P140" s="207"/>
      <c r="Q140" s="199"/>
      <c r="R140" s="199"/>
      <c r="T140" s="206"/>
      <c r="U140" s="206"/>
      <c r="V140" s="206"/>
    </row>
    <row r="141" ht="15.75" customHeight="1">
      <c r="B141" s="33"/>
      <c r="C141" s="199"/>
      <c r="D141" s="199"/>
      <c r="E141" s="207"/>
      <c r="F141" s="207"/>
      <c r="G141" s="213"/>
      <c r="H141" s="208" t="s">
        <v>174</v>
      </c>
      <c r="I141" s="209">
        <f>if($D$98="Lourde",lookup($D$94,Reference!$B$37:$B$42,Reference!$G$37:$G$42),lookup($D$94,Reference!$B$37:$B$42,Reference!$H$37:$H$42))</f>
        <v>0.81</v>
      </c>
      <c r="J141" s="210" t="s">
        <v>175</v>
      </c>
      <c r="K141" s="207"/>
      <c r="L141" s="207"/>
      <c r="M141" s="207"/>
      <c r="N141" s="207"/>
      <c r="O141" s="207"/>
      <c r="P141" s="207"/>
      <c r="Q141" s="199"/>
      <c r="R141" s="199"/>
      <c r="T141" s="206"/>
      <c r="U141" s="206"/>
      <c r="V141" s="206"/>
    </row>
    <row r="142" ht="15.75" customHeight="1">
      <c r="B142" s="33"/>
      <c r="C142" s="199"/>
      <c r="D142" s="199"/>
      <c r="E142" s="207"/>
      <c r="F142" s="207"/>
      <c r="G142" s="208"/>
      <c r="H142" s="208" t="s">
        <v>176</v>
      </c>
      <c r="I142" s="228">
        <v>1.333</v>
      </c>
      <c r="J142" s="210" t="s">
        <v>177</v>
      </c>
      <c r="K142" s="207"/>
      <c r="L142" s="207"/>
      <c r="M142" s="207"/>
      <c r="N142" s="207"/>
      <c r="O142" s="207"/>
      <c r="P142" s="207"/>
      <c r="Q142" s="199"/>
      <c r="R142" s="199"/>
      <c r="T142" s="206"/>
      <c r="U142" s="206"/>
      <c r="V142" s="206"/>
    </row>
    <row r="143" ht="15.75" customHeight="1">
      <c r="B143" s="33"/>
      <c r="C143" s="199"/>
      <c r="D143" s="199"/>
      <c r="E143" s="207"/>
      <c r="F143" s="207"/>
      <c r="G143" s="208"/>
      <c r="H143" s="208" t="s">
        <v>178</v>
      </c>
      <c r="I143" s="228">
        <f>lookup($D$94,Reference!$B$37:$B$42,Reference!$F$37:$F$42)</f>
        <v>1.1</v>
      </c>
      <c r="J143" s="210" t="s">
        <v>179</v>
      </c>
      <c r="K143" s="207"/>
      <c r="L143" s="207"/>
      <c r="M143" s="207"/>
      <c r="N143" s="207"/>
      <c r="O143" s="207"/>
      <c r="P143" s="207"/>
      <c r="Q143" s="199"/>
      <c r="R143" s="199"/>
      <c r="T143" s="206"/>
      <c r="U143" s="206"/>
      <c r="V143" s="206"/>
    </row>
    <row r="144" ht="15.75" customHeight="1">
      <c r="B144" s="33"/>
      <c r="C144" s="199"/>
      <c r="D144" s="199"/>
      <c r="E144" s="207"/>
      <c r="F144" s="207"/>
      <c r="G144" s="208"/>
      <c r="H144" s="208" t="s">
        <v>180</v>
      </c>
      <c r="I144" s="216">
        <v>0.438</v>
      </c>
      <c r="J144" s="210" t="s">
        <v>181</v>
      </c>
      <c r="K144" s="207"/>
      <c r="L144" s="207"/>
      <c r="M144" s="207"/>
      <c r="N144" s="207"/>
      <c r="O144" s="207"/>
      <c r="P144" s="207"/>
      <c r="Q144" s="199"/>
      <c r="R144" s="199"/>
      <c r="T144" s="206"/>
      <c r="U144" s="206"/>
      <c r="V144" s="206"/>
    </row>
    <row r="145" ht="15.75" customHeight="1">
      <c r="B145" s="33"/>
      <c r="C145" s="199"/>
      <c r="D145" s="199"/>
      <c r="E145" s="207"/>
      <c r="F145" s="207"/>
      <c r="G145" s="208"/>
      <c r="H145" s="208" t="s">
        <v>182</v>
      </c>
      <c r="I145" s="217">
        <v>7.5735</v>
      </c>
      <c r="J145" s="218" t="s">
        <v>183</v>
      </c>
      <c r="K145" s="219">
        <f>I145*20.885</f>
        <v>158.1725475</v>
      </c>
      <c r="L145" s="211" t="s">
        <v>184</v>
      </c>
      <c r="M145" s="207"/>
      <c r="N145" s="72"/>
      <c r="O145" s="207"/>
      <c r="P145" s="207"/>
      <c r="Q145" s="199"/>
      <c r="R145" s="199"/>
      <c r="T145" s="206"/>
      <c r="U145" s="206"/>
      <c r="V145" s="206"/>
    </row>
    <row r="146" ht="15.75" customHeight="1">
      <c r="B146" s="33"/>
      <c r="C146" s="199"/>
      <c r="D146" s="199"/>
      <c r="E146" s="207"/>
      <c r="F146" s="207"/>
      <c r="G146" s="208"/>
      <c r="H146" s="208" t="s">
        <v>185</v>
      </c>
      <c r="I146" s="220">
        <v>6.9</v>
      </c>
      <c r="J146" s="221" t="s">
        <v>186</v>
      </c>
      <c r="K146" s="222">
        <f>I146*145.038</f>
        <v>1000.7622</v>
      </c>
      <c r="L146" s="223" t="s">
        <v>187</v>
      </c>
      <c r="M146" s="223" t="s">
        <v>231</v>
      </c>
      <c r="N146" s="72"/>
      <c r="O146" s="224"/>
      <c r="P146" s="224"/>
      <c r="Q146" s="33"/>
      <c r="R146" s="199"/>
      <c r="T146" s="206"/>
      <c r="U146" s="206"/>
      <c r="V146" s="206"/>
    </row>
    <row r="147" ht="15.75" customHeight="1">
      <c r="B147" s="33"/>
      <c r="C147" s="199"/>
      <c r="D147" s="199"/>
      <c r="E147" s="207"/>
      <c r="F147" s="207"/>
      <c r="G147" s="208"/>
      <c r="H147" s="208" t="s">
        <v>189</v>
      </c>
      <c r="I147" s="225">
        <f>0.1868*sqrt(I146)*1000</f>
        <v>490.683458</v>
      </c>
      <c r="J147" s="221" t="s">
        <v>183</v>
      </c>
      <c r="K147" s="222">
        <f>2.25*sqrt(K146)</f>
        <v>71.17835793</v>
      </c>
      <c r="L147" s="223" t="s">
        <v>187</v>
      </c>
      <c r="M147" s="223" t="s">
        <v>232</v>
      </c>
      <c r="N147" s="72"/>
      <c r="O147" s="223"/>
      <c r="P147" s="223"/>
      <c r="Q147" s="33"/>
      <c r="R147" s="199"/>
      <c r="T147" s="206"/>
      <c r="U147" s="206"/>
      <c r="V147" s="206"/>
    </row>
    <row r="148" ht="15.75" customHeight="1">
      <c r="E148" s="72"/>
      <c r="F148" s="72"/>
      <c r="G148" s="226"/>
      <c r="H148" s="226" t="s">
        <v>191</v>
      </c>
      <c r="I148" s="220">
        <v>0.8</v>
      </c>
      <c r="J148" s="221"/>
      <c r="K148" s="227"/>
      <c r="L148" s="227"/>
      <c r="M148" s="223" t="s">
        <v>192</v>
      </c>
      <c r="N148" s="72"/>
      <c r="O148" s="72"/>
      <c r="P148" s="72"/>
      <c r="T148" s="206"/>
      <c r="U148" s="206"/>
      <c r="V148" s="206"/>
    </row>
    <row r="149" ht="15.75" customHeight="1">
      <c r="B149" s="33"/>
      <c r="C149" s="199"/>
      <c r="D149" s="199"/>
      <c r="E149" s="207"/>
      <c r="F149" s="207"/>
      <c r="G149" s="208"/>
      <c r="H149" s="208" t="s">
        <v>193</v>
      </c>
      <c r="I149" s="225">
        <f>I147*I148</f>
        <v>392.5467664</v>
      </c>
      <c r="J149" s="218" t="s">
        <v>183</v>
      </c>
      <c r="K149" s="223"/>
      <c r="L149" s="223"/>
      <c r="M149" s="224"/>
      <c r="N149" s="224"/>
      <c r="O149" s="223"/>
      <c r="P149" s="223"/>
      <c r="Q149" s="33"/>
      <c r="R149" s="199"/>
      <c r="T149" s="206"/>
      <c r="U149" s="206"/>
      <c r="V149" s="206"/>
    </row>
    <row r="150" ht="15.75" customHeight="1">
      <c r="B150" s="33"/>
      <c r="C150" s="199"/>
      <c r="D150" s="199"/>
      <c r="E150" s="207"/>
      <c r="F150" s="207"/>
      <c r="G150" s="208"/>
      <c r="H150" s="208" t="s">
        <v>194</v>
      </c>
      <c r="I150" s="228">
        <v>1.5</v>
      </c>
      <c r="J150" s="210" t="s">
        <v>195</v>
      </c>
      <c r="K150" s="207"/>
      <c r="L150" s="207"/>
      <c r="M150" s="207"/>
      <c r="N150" s="207"/>
      <c r="O150" s="207"/>
      <c r="P150" s="207"/>
      <c r="Q150" s="199"/>
      <c r="R150" s="199"/>
      <c r="T150" s="206"/>
      <c r="U150" s="206"/>
      <c r="V150" s="206"/>
    </row>
    <row r="151" ht="15.75" customHeight="1">
      <c r="B151" s="33"/>
      <c r="C151" s="199"/>
      <c r="D151" s="199"/>
      <c r="E151" s="207"/>
      <c r="F151" s="207"/>
      <c r="G151" s="208"/>
      <c r="H151" s="208" t="s">
        <v>196</v>
      </c>
      <c r="I151" s="209">
        <v>3.0</v>
      </c>
      <c r="J151" s="210"/>
      <c r="K151" s="207"/>
      <c r="L151" s="207"/>
      <c r="M151" s="207"/>
      <c r="N151" s="207"/>
      <c r="O151" s="207"/>
      <c r="P151" s="207"/>
      <c r="Q151" s="199"/>
      <c r="R151" s="199"/>
      <c r="T151" s="206"/>
      <c r="U151" s="206"/>
      <c r="V151" s="206"/>
    </row>
    <row r="152" ht="15.75" customHeight="1">
      <c r="C152" s="199"/>
      <c r="D152" s="199"/>
      <c r="E152" s="207"/>
      <c r="F152" s="207"/>
      <c r="G152" s="213"/>
      <c r="H152" s="213"/>
      <c r="I152" s="209"/>
      <c r="J152" s="210"/>
      <c r="K152" s="207"/>
      <c r="L152" s="207"/>
      <c r="M152" s="207"/>
      <c r="N152" s="207"/>
      <c r="O152" s="207"/>
      <c r="P152" s="72"/>
      <c r="T152" s="206"/>
      <c r="U152" s="206"/>
      <c r="V152" s="206"/>
    </row>
    <row r="153" ht="15.75" customHeight="1">
      <c r="B153" s="229" t="s">
        <v>197</v>
      </c>
      <c r="C153" s="199"/>
      <c r="D153" s="230"/>
      <c r="E153" s="231"/>
      <c r="F153" s="231"/>
      <c r="G153" s="231"/>
      <c r="H153" s="231" t="s">
        <v>198</v>
      </c>
      <c r="I153" s="232">
        <f>$D$95*I145*I140*$R$101</f>
        <v>1153.719725</v>
      </c>
      <c r="J153" s="233" t="s">
        <v>199</v>
      </c>
      <c r="K153" s="234" t="s">
        <v>200</v>
      </c>
      <c r="L153" s="72"/>
      <c r="M153" s="207"/>
      <c r="N153" s="207"/>
      <c r="O153" s="207"/>
      <c r="P153" s="72"/>
      <c r="T153" s="206"/>
      <c r="U153" s="206"/>
      <c r="V153" s="206"/>
    </row>
    <row r="154" ht="15.75" customHeight="1">
      <c r="B154" s="32"/>
      <c r="C154" s="199"/>
      <c r="D154" s="230"/>
      <c r="E154" s="231"/>
      <c r="F154" s="231"/>
      <c r="G154" s="231"/>
      <c r="H154" s="231" t="s">
        <v>201</v>
      </c>
      <c r="I154" s="232">
        <f>I153*I139*I141/I151</f>
        <v>435.8568527</v>
      </c>
      <c r="J154" s="233" t="s">
        <v>199</v>
      </c>
      <c r="K154" s="234" t="s">
        <v>233</v>
      </c>
      <c r="L154" s="72"/>
      <c r="M154" s="207"/>
      <c r="N154" s="207"/>
      <c r="O154" s="207"/>
      <c r="P154" s="72"/>
      <c r="T154" s="206"/>
      <c r="U154" s="206"/>
      <c r="V154" s="206"/>
    </row>
    <row r="155" ht="15.75" customHeight="1">
      <c r="B155" s="33"/>
      <c r="C155" s="199"/>
      <c r="D155" s="235"/>
      <c r="E155" s="236"/>
      <c r="F155" s="236"/>
      <c r="G155" s="231"/>
      <c r="H155" s="231" t="s">
        <v>203</v>
      </c>
      <c r="I155" s="232">
        <f>I149*I142*I143/I150</f>
        <v>383.7275491</v>
      </c>
      <c r="J155" s="233" t="s">
        <v>183</v>
      </c>
      <c r="K155" s="234" t="s">
        <v>204</v>
      </c>
      <c r="L155" s="72"/>
      <c r="M155" s="207"/>
      <c r="N155" s="207"/>
      <c r="O155" s="207"/>
      <c r="P155" s="72"/>
      <c r="T155" s="206"/>
      <c r="U155" s="206"/>
      <c r="V155" s="206"/>
    </row>
    <row r="156" ht="15.75" customHeight="1">
      <c r="B156" s="33"/>
      <c r="C156" s="199"/>
      <c r="D156" s="235"/>
      <c r="E156" s="236"/>
      <c r="F156" s="236"/>
      <c r="G156" s="231"/>
      <c r="H156" s="231" t="s">
        <v>205</v>
      </c>
      <c r="I156" s="214">
        <f>I154/I155</f>
        <v>1.135849781</v>
      </c>
      <c r="J156" s="233" t="s">
        <v>87</v>
      </c>
      <c r="K156" s="234" t="s">
        <v>206</v>
      </c>
      <c r="L156" s="72"/>
      <c r="M156" s="207"/>
      <c r="N156" s="207"/>
      <c r="O156" s="207"/>
      <c r="P156" s="72"/>
      <c r="T156" s="206"/>
      <c r="U156" s="206"/>
      <c r="V156" s="206"/>
    </row>
    <row r="157" ht="15.75" customHeight="1">
      <c r="B157" s="33"/>
      <c r="C157" s="199"/>
      <c r="D157" s="230"/>
      <c r="E157" s="231"/>
      <c r="F157" s="231"/>
      <c r="G157" s="231"/>
      <c r="H157" s="231" t="s">
        <v>207</v>
      </c>
      <c r="I157" s="214">
        <f>I156/$I$144</f>
        <v>2.593264341</v>
      </c>
      <c r="J157" s="233" t="s">
        <v>87</v>
      </c>
      <c r="K157" s="234" t="s">
        <v>208</v>
      </c>
      <c r="L157" s="72"/>
      <c r="M157" s="207"/>
      <c r="N157" s="207"/>
      <c r="O157" s="207"/>
      <c r="P157" s="72"/>
      <c r="T157" s="206"/>
      <c r="U157" s="206"/>
      <c r="V157" s="206"/>
    </row>
    <row r="158" ht="15.75" customHeight="1">
      <c r="B158" s="33"/>
      <c r="C158" s="199"/>
      <c r="D158" s="235"/>
      <c r="E158" s="236"/>
      <c r="F158" s="236"/>
      <c r="G158" s="231"/>
      <c r="H158" s="231" t="s">
        <v>209</v>
      </c>
      <c r="I158" s="237">
        <f>I157/$P$93</f>
        <v>0.04800563386</v>
      </c>
      <c r="J158" s="238"/>
      <c r="K158" s="234" t="s">
        <v>210</v>
      </c>
      <c r="L158" s="72"/>
      <c r="M158" s="207"/>
      <c r="N158" s="207"/>
      <c r="O158" s="207"/>
      <c r="P158" s="207"/>
      <c r="Q158" s="199"/>
      <c r="R158" s="199"/>
      <c r="T158" s="206"/>
      <c r="U158" s="206"/>
      <c r="V158" s="206"/>
    </row>
    <row r="159" ht="15.75" customHeight="1">
      <c r="B159" s="33"/>
      <c r="C159" s="199"/>
      <c r="D159" s="199"/>
      <c r="E159" s="207"/>
      <c r="F159" s="207"/>
      <c r="G159" s="208"/>
      <c r="H159" s="208" t="s">
        <v>211</v>
      </c>
      <c r="I159" s="239">
        <f>I145*$D$9*I140*I139*I141*I150/(I151*I148*I147*I142*I143*I144)</f>
        <v>0.04800563386</v>
      </c>
      <c r="J159" s="240" t="s">
        <v>212</v>
      </c>
      <c r="K159" s="241" t="s">
        <v>213</v>
      </c>
      <c r="L159" s="72"/>
      <c r="M159" s="207"/>
      <c r="N159" s="207"/>
      <c r="O159" s="207"/>
      <c r="P159" s="242"/>
      <c r="Q159" s="199"/>
      <c r="R159" s="199"/>
      <c r="T159" s="206"/>
      <c r="U159" s="206"/>
      <c r="V159" s="206"/>
    </row>
    <row r="160" ht="15.75" customHeight="1">
      <c r="B160" s="33"/>
      <c r="C160" s="199"/>
      <c r="D160" s="199"/>
      <c r="E160" s="207"/>
      <c r="F160" s="207"/>
      <c r="G160" s="213"/>
      <c r="H160" s="208" t="s">
        <v>214</v>
      </c>
      <c r="I160" s="239">
        <f>MAX(0.01,0.0075*I139)*(1.33/$I$142)</f>
        <v>0.0104703826</v>
      </c>
      <c r="J160" s="210" t="s">
        <v>215</v>
      </c>
      <c r="K160" s="207"/>
      <c r="L160" s="207"/>
      <c r="M160" s="207"/>
      <c r="N160" s="72"/>
      <c r="O160" s="72"/>
      <c r="P160" s="72"/>
      <c r="T160" s="206"/>
      <c r="U160" s="206"/>
      <c r="V160" s="206"/>
    </row>
    <row r="161" ht="15.75" customHeight="1">
      <c r="B161" s="199"/>
      <c r="C161" s="199"/>
      <c r="D161" s="199"/>
      <c r="E161" s="207"/>
      <c r="F161" s="207"/>
      <c r="G161" s="213"/>
      <c r="H161" s="208" t="s">
        <v>216</v>
      </c>
      <c r="I161" s="239">
        <f>max(I160,I159)</f>
        <v>0.04800563386</v>
      </c>
      <c r="J161" s="210" t="s">
        <v>217</v>
      </c>
      <c r="K161" s="207"/>
      <c r="L161" s="207"/>
      <c r="M161" s="207"/>
      <c r="N161" s="207"/>
      <c r="O161" s="211"/>
      <c r="P161" s="207"/>
      <c r="T161" s="206"/>
      <c r="U161" s="206"/>
      <c r="V161" s="206"/>
    </row>
    <row r="162" ht="15.75" customHeight="1">
      <c r="B162" s="33"/>
      <c r="C162" s="58"/>
      <c r="D162" s="47"/>
      <c r="E162" s="224"/>
      <c r="F162" s="224"/>
      <c r="G162" s="72"/>
      <c r="H162" s="72"/>
      <c r="I162" s="224"/>
      <c r="J162" s="224"/>
      <c r="K162" s="207"/>
      <c r="L162" s="207"/>
      <c r="M162" s="207"/>
      <c r="N162" s="207"/>
      <c r="O162" s="207"/>
      <c r="P162" s="207"/>
      <c r="U162" s="243"/>
    </row>
    <row r="163" ht="15.75" customHeight="1">
      <c r="B163" s="244" t="s">
        <v>218</v>
      </c>
      <c r="D163" s="245"/>
      <c r="E163" s="246"/>
      <c r="F163" s="224"/>
      <c r="G163" s="231"/>
      <c r="H163" s="231" t="s">
        <v>219</v>
      </c>
      <c r="I163" s="209">
        <f>IF(ISERROR(I161/L125),"",I161/L125)</f>
        <v>0.8902359695</v>
      </c>
      <c r="J163" s="247" t="str">
        <f t="shared" ref="J163:J164" si="24">IF(I163="","",IF(I163&lt;=1,"OK","NG"))</f>
        <v>OK</v>
      </c>
      <c r="K163" s="211" t="s">
        <v>220</v>
      </c>
      <c r="L163" s="72"/>
      <c r="M163" s="207"/>
      <c r="N163" s="207"/>
      <c r="O163" s="207"/>
      <c r="P163" s="207"/>
      <c r="T163" s="248"/>
      <c r="U163" s="205"/>
    </row>
    <row r="164" ht="15.75" customHeight="1">
      <c r="B164" s="244" t="s">
        <v>221</v>
      </c>
      <c r="C164" s="249"/>
      <c r="D164" s="246"/>
      <c r="E164" s="246"/>
      <c r="F164" s="224"/>
      <c r="G164" s="231"/>
      <c r="H164" s="231" t="s">
        <v>219</v>
      </c>
      <c r="I164" s="209">
        <f>max(T124)</f>
        <v>0.8902359695</v>
      </c>
      <c r="J164" s="247" t="str">
        <f t="shared" si="24"/>
        <v>OK</v>
      </c>
      <c r="K164" s="211" t="s">
        <v>222</v>
      </c>
      <c r="L164" s="72"/>
      <c r="M164" s="207"/>
      <c r="N164" s="207"/>
      <c r="O164" s="207"/>
      <c r="P164" s="72"/>
      <c r="T164" s="248"/>
      <c r="U164" s="205"/>
      <c r="V164" s="205"/>
    </row>
    <row r="165" ht="15.75" customHeight="1">
      <c r="B165" s="244" t="s">
        <v>223</v>
      </c>
      <c r="C165" s="249"/>
      <c r="D165" s="249"/>
      <c r="E165" s="250"/>
      <c r="F165" s="72"/>
      <c r="G165" s="226"/>
      <c r="H165" s="226"/>
      <c r="J165" s="251" t="str">
        <f>U124</f>
        <v>OK</v>
      </c>
      <c r="K165" s="252" t="s">
        <v>224</v>
      </c>
      <c r="L165" s="72"/>
      <c r="M165" s="72"/>
      <c r="N165" s="72"/>
      <c r="O165" s="72"/>
      <c r="P165" s="72"/>
      <c r="V165" s="206"/>
    </row>
    <row r="166" ht="40.5" customHeight="1"/>
    <row r="167" ht="30.0" customHeight="1"/>
    <row r="168" ht="33.75" customHeight="1"/>
    <row r="169" ht="28.5" customHeight="1"/>
    <row r="170" ht="33.0" customHeight="1"/>
    <row r="171" ht="42.75" customHeight="1"/>
    <row r="172" ht="15.75" customHeight="1">
      <c r="A172" s="43"/>
      <c r="B172" s="49" t="s">
        <v>75</v>
      </c>
      <c r="C172" s="50"/>
      <c r="D172" s="51"/>
      <c r="E172" s="51"/>
      <c r="F172" s="51"/>
      <c r="G172" s="51"/>
      <c r="H172" s="51"/>
      <c r="I172" s="51"/>
      <c r="J172" s="51"/>
      <c r="K172" s="51"/>
      <c r="L172" s="51"/>
      <c r="M172" s="51"/>
      <c r="N172" s="52" t="s">
        <v>76</v>
      </c>
      <c r="O172" s="52"/>
      <c r="P172" s="51"/>
      <c r="Q172" s="51"/>
      <c r="R172" s="53"/>
      <c r="S172" s="54"/>
    </row>
    <row r="173" ht="15.75" customHeight="1">
      <c r="A173" s="43"/>
      <c r="B173" s="49" t="s">
        <v>77</v>
      </c>
      <c r="C173" s="55" t="s">
        <v>78</v>
      </c>
      <c r="D173" s="56"/>
      <c r="E173" s="51"/>
      <c r="F173" s="51"/>
      <c r="G173" s="51"/>
      <c r="H173" s="51"/>
      <c r="I173" s="51"/>
      <c r="J173" s="51"/>
      <c r="K173" s="51"/>
      <c r="L173" s="51"/>
      <c r="M173" s="51"/>
      <c r="N173" s="57" t="s">
        <v>79</v>
      </c>
      <c r="O173" s="57"/>
      <c r="P173" s="51"/>
      <c r="Q173" s="51"/>
      <c r="R173" s="53"/>
      <c r="S173" s="54"/>
    </row>
    <row r="174" ht="15.75" customHeight="1">
      <c r="A174" s="43"/>
      <c r="B174" s="51"/>
      <c r="C174" s="52"/>
      <c r="D174" s="56"/>
      <c r="E174" s="51"/>
      <c r="F174" s="51"/>
      <c r="G174" s="51"/>
      <c r="H174" s="51"/>
      <c r="I174" s="51"/>
      <c r="J174" s="51"/>
      <c r="K174" s="51"/>
      <c r="L174" s="51"/>
      <c r="M174" s="51"/>
      <c r="N174" s="57" t="s">
        <v>80</v>
      </c>
      <c r="O174" s="57"/>
      <c r="P174" s="51"/>
      <c r="Q174" s="51"/>
      <c r="R174" s="53"/>
      <c r="S174" s="54"/>
    </row>
    <row r="175" ht="15.75" customHeight="1">
      <c r="A175" s="43"/>
      <c r="B175" s="43"/>
      <c r="C175" s="45"/>
      <c r="D175" s="43"/>
      <c r="E175" s="43"/>
      <c r="F175" s="43"/>
      <c r="G175" s="43"/>
      <c r="H175" s="43"/>
      <c r="I175" s="43"/>
      <c r="J175" s="43"/>
      <c r="K175" s="43"/>
      <c r="L175" s="43"/>
      <c r="M175" s="43"/>
      <c r="N175" s="43"/>
      <c r="O175" s="43"/>
      <c r="P175" s="43"/>
      <c r="Q175" s="43"/>
      <c r="R175" s="46"/>
      <c r="S175" s="33"/>
    </row>
    <row r="176" ht="33.0" customHeight="1">
      <c r="A176" s="43"/>
      <c r="B176" s="43"/>
      <c r="C176" s="45"/>
      <c r="D176" s="43"/>
      <c r="E176" s="43"/>
      <c r="F176" s="43"/>
      <c r="G176" s="43"/>
      <c r="H176" s="43"/>
      <c r="I176" s="43"/>
      <c r="J176" s="201"/>
      <c r="K176" s="98" t="s">
        <v>234</v>
      </c>
      <c r="L176" s="43"/>
      <c r="M176" s="43"/>
      <c r="N176" s="43"/>
      <c r="O176" s="43"/>
      <c r="P176" s="43"/>
      <c r="Q176" s="43"/>
      <c r="R176" s="46"/>
      <c r="S176" s="33"/>
    </row>
    <row r="177" ht="15.75" customHeight="1">
      <c r="A177" s="58"/>
      <c r="B177" s="59" t="s">
        <v>81</v>
      </c>
      <c r="C177" s="60"/>
      <c r="D177" s="61"/>
      <c r="E177" s="61" t="s">
        <v>82</v>
      </c>
      <c r="F177" s="61"/>
      <c r="G177" s="60"/>
      <c r="H177" s="60"/>
      <c r="I177" s="43"/>
      <c r="J177" s="58"/>
      <c r="K177" s="62"/>
      <c r="L177" s="62"/>
      <c r="M177" s="62"/>
      <c r="N177" s="58"/>
      <c r="O177" s="58"/>
      <c r="R177" s="58"/>
    </row>
    <row r="178" ht="15.75" customHeight="1">
      <c r="A178" s="66"/>
      <c r="B178" s="67" t="s">
        <v>85</v>
      </c>
      <c r="C178" s="68"/>
      <c r="D178" s="68"/>
      <c r="E178" s="68"/>
      <c r="F178" s="68"/>
      <c r="G178" s="68"/>
      <c r="H178" s="68"/>
      <c r="I178" s="68"/>
      <c r="J178" s="5"/>
      <c r="K178" s="69"/>
      <c r="N178" s="68"/>
      <c r="O178" s="70" t="s">
        <v>86</v>
      </c>
      <c r="P178" s="86">
        <f>'WAP for Y-AXIS Walls'!P7</f>
        <v>54.02</v>
      </c>
      <c r="Q178" s="71" t="s">
        <v>87</v>
      </c>
      <c r="R178" s="71"/>
      <c r="S178" s="68"/>
      <c r="T178" s="68"/>
      <c r="U178" s="72"/>
    </row>
    <row r="179" ht="15.75" customHeight="1">
      <c r="A179" s="73"/>
      <c r="B179" s="74"/>
      <c r="C179" s="70" t="s">
        <v>88</v>
      </c>
      <c r="D179" s="277">
        <f>'WAP for Y-AXIS Walls'!D179</f>
        <v>3.3</v>
      </c>
      <c r="E179" s="43" t="str">
        <f>'WAP for Y-AXIS Walls'!E179</f>
        <v>Troisième de trois étages</v>
      </c>
      <c r="F179" s="43"/>
      <c r="G179" s="43"/>
      <c r="H179" s="43"/>
      <c r="I179" s="68"/>
      <c r="J179" s="65"/>
      <c r="L179" s="76"/>
      <c r="N179" s="68"/>
      <c r="O179" s="77" t="s">
        <v>89</v>
      </c>
      <c r="P179" s="86">
        <f>'WAP for Y-AXIS Walls'!P8</f>
        <v>14.6</v>
      </c>
      <c r="Q179" s="71" t="s">
        <v>84</v>
      </c>
      <c r="R179" s="71"/>
      <c r="S179" s="68"/>
      <c r="T179" s="68"/>
      <c r="U179" s="72"/>
    </row>
    <row r="180" ht="15.75" customHeight="1">
      <c r="A180" s="74"/>
      <c r="B180" s="43"/>
      <c r="C180" s="78" t="s">
        <v>226</v>
      </c>
      <c r="D180" s="79">
        <f>'WAP for Y-AXIS Walls'!D180</f>
        <v>3</v>
      </c>
      <c r="E180" s="80" t="str">
        <f>'WAP for Y-AXIS Walls'!E180</f>
        <v>Le maximum est de trois niveaux.</v>
      </c>
      <c r="F180" s="80"/>
      <c r="G180" s="80"/>
      <c r="H180" s="80"/>
      <c r="I180" s="43"/>
      <c r="J180" s="65"/>
      <c r="L180" s="76"/>
      <c r="N180" s="68"/>
      <c r="O180" s="77" t="s">
        <v>92</v>
      </c>
      <c r="P180" s="86">
        <f>'WAP for Y-AXIS Walls'!P9</f>
        <v>3.7</v>
      </c>
      <c r="Q180" s="71" t="s">
        <v>84</v>
      </c>
      <c r="R180" s="71"/>
      <c r="S180" s="68"/>
      <c r="T180" s="68"/>
      <c r="U180" s="72"/>
    </row>
    <row r="181" ht="15.75" customHeight="1">
      <c r="A181" s="67"/>
      <c r="B181" s="68"/>
      <c r="C181" s="77" t="s">
        <v>93</v>
      </c>
      <c r="D181" s="79">
        <f>'WAP for Y-AXIS Walls'!D181</f>
        <v>3</v>
      </c>
      <c r="E181" s="68" t="str">
        <f>'WAP for Y-AXIS Walls'!E181</f>
        <v>Niveau supérieur</v>
      </c>
      <c r="F181" s="68"/>
      <c r="G181" s="68"/>
      <c r="H181" s="68"/>
      <c r="I181" s="68"/>
      <c r="J181" s="85"/>
      <c r="L181" s="82"/>
      <c r="N181" s="68"/>
      <c r="O181" s="68"/>
      <c r="P181" s="68"/>
      <c r="Q181" s="43"/>
      <c r="R181" s="43"/>
      <c r="S181" s="43"/>
      <c r="T181" s="43"/>
    </row>
    <row r="182" ht="15.75" customHeight="1">
      <c r="A182" s="254"/>
      <c r="B182" s="254"/>
      <c r="C182" s="63" t="s">
        <v>94</v>
      </c>
      <c r="D182" s="79">
        <f>'WAP for Y-AXIS Walls'!D182</f>
        <v>2.9</v>
      </c>
      <c r="E182" s="68"/>
      <c r="J182" s="85"/>
      <c r="L182" s="84"/>
      <c r="N182" s="68"/>
      <c r="O182" s="68"/>
      <c r="P182" s="68"/>
      <c r="Q182" s="43"/>
      <c r="R182" s="43"/>
      <c r="S182" s="43"/>
      <c r="T182" s="43"/>
    </row>
    <row r="183" ht="15.75" customHeight="1">
      <c r="A183" s="43"/>
      <c r="B183" s="74"/>
      <c r="C183" s="70" t="s">
        <v>95</v>
      </c>
      <c r="D183" s="79" t="str">
        <f>'WAP for Y-AXIS Walls'!D183</f>
        <v>Lourde</v>
      </c>
      <c r="E183" s="43"/>
      <c r="F183" s="33"/>
      <c r="G183" s="33"/>
      <c r="H183" s="33"/>
      <c r="I183" s="33"/>
      <c r="J183" s="85"/>
      <c r="K183" s="85"/>
      <c r="L183" s="84"/>
      <c r="N183" s="68"/>
      <c r="O183" s="68"/>
      <c r="P183" s="68"/>
      <c r="Q183" s="43"/>
      <c r="R183" s="43"/>
      <c r="S183" s="43"/>
      <c r="T183" s="43"/>
    </row>
    <row r="184" ht="15.75" customHeight="1">
      <c r="A184" s="43"/>
      <c r="B184" s="43"/>
      <c r="C184" s="78" t="s">
        <v>97</v>
      </c>
      <c r="D184" s="278" t="str">
        <f>'WAP for Y-AXIS Walls'!D184</f>
        <v>B</v>
      </c>
      <c r="E184" s="80"/>
      <c r="F184" s="32"/>
      <c r="G184" s="87"/>
      <c r="H184" s="87"/>
      <c r="I184" s="33"/>
      <c r="J184" s="85"/>
      <c r="K184" s="85"/>
      <c r="L184" s="84"/>
      <c r="N184" s="68"/>
      <c r="O184" s="88" t="s">
        <v>99</v>
      </c>
      <c r="P184" s="48"/>
      <c r="Q184" s="43"/>
      <c r="R184" s="80" t="s">
        <v>227</v>
      </c>
      <c r="S184" s="43"/>
      <c r="T184" s="43"/>
      <c r="U184" s="72"/>
    </row>
    <row r="185" ht="15.75" customHeight="1">
      <c r="A185" s="43"/>
      <c r="B185" s="43"/>
      <c r="C185" s="70" t="s">
        <v>101</v>
      </c>
      <c r="D185" s="278">
        <f>'WAP for Y-AXIS Walls'!D185</f>
        <v>1.1</v>
      </c>
      <c r="E185" s="80"/>
      <c r="F185" s="32"/>
      <c r="G185" s="33"/>
      <c r="H185" s="33"/>
      <c r="I185" s="33"/>
      <c r="J185" s="85"/>
      <c r="K185" s="85"/>
      <c r="L185" s="84"/>
      <c r="N185" s="68"/>
      <c r="O185" s="70" t="s">
        <v>237</v>
      </c>
      <c r="P185" s="91">
        <f>P180/P179</f>
        <v>0.2534246575</v>
      </c>
      <c r="Q185" s="43"/>
      <c r="R185" s="43"/>
      <c r="S185" s="92"/>
      <c r="T185" s="43"/>
      <c r="U185" s="72"/>
    </row>
    <row r="186" ht="15.75" customHeight="1">
      <c r="A186" s="68"/>
      <c r="B186" s="43"/>
      <c r="C186" s="70" t="s">
        <v>103</v>
      </c>
      <c r="D186" s="278" t="str">
        <f>'WAP for Y-AXIS Walls'!D186</f>
        <v>D</v>
      </c>
      <c r="E186" s="80"/>
      <c r="F186" s="32"/>
      <c r="G186" s="33"/>
      <c r="H186" s="33"/>
      <c r="I186" s="33"/>
      <c r="J186" s="93"/>
      <c r="N186" s="68"/>
      <c r="O186" s="70"/>
      <c r="P186" s="45"/>
      <c r="Q186" s="80" t="s">
        <v>228</v>
      </c>
      <c r="R186" s="92">
        <f>'WAP for Y-AXIS Walls'!R15</f>
        <v>54.02</v>
      </c>
      <c r="S186" s="92"/>
      <c r="T186" s="94">
        <f>'WAP for Y-AXIS Walls'!T15</f>
        <v>3.7</v>
      </c>
      <c r="U186" s="72"/>
    </row>
    <row r="187" ht="15.75" customHeight="1">
      <c r="A187" s="68"/>
      <c r="B187" s="68"/>
      <c r="C187" s="71" t="s">
        <v>107</v>
      </c>
      <c r="D187" s="79">
        <f>'WAP for Y-AXIS Walls'!D187</f>
        <v>1.59</v>
      </c>
      <c r="E187" s="68"/>
      <c r="N187" s="68"/>
      <c r="O187" s="43"/>
      <c r="P187" s="45"/>
      <c r="Q187" s="43"/>
      <c r="R187" s="256" t="s">
        <v>257</v>
      </c>
      <c r="T187" s="43"/>
      <c r="U187" s="72"/>
    </row>
    <row r="188" ht="15.75" customHeight="1">
      <c r="A188" s="43"/>
      <c r="B188" s="68"/>
      <c r="C188" s="71" t="s">
        <v>109</v>
      </c>
      <c r="D188" s="79">
        <f>'WAP for Y-AXIS Walls'!D188</f>
        <v>1.2</v>
      </c>
      <c r="E188" s="68"/>
      <c r="N188" s="68"/>
      <c r="O188" s="43"/>
      <c r="P188" s="43"/>
      <c r="Q188" s="43"/>
      <c r="R188" s="92">
        <f>'WAP for Y-AXIS Walls'!R17</f>
        <v>14.6</v>
      </c>
      <c r="S188" s="92"/>
      <c r="T188" s="43"/>
      <c r="U188" s="72"/>
    </row>
    <row r="189" ht="15.75" customHeight="1">
      <c r="A189" s="68"/>
      <c r="B189" s="68"/>
      <c r="C189" s="71" t="s">
        <v>110</v>
      </c>
      <c r="D189" s="278">
        <f>'WAP for Y-AXIS Walls'!D189</f>
        <v>1.3992</v>
      </c>
      <c r="E189" s="68"/>
      <c r="N189" s="72"/>
      <c r="O189" s="72"/>
      <c r="P189" s="72"/>
      <c r="Q189" s="72"/>
      <c r="R189" s="72"/>
      <c r="S189" s="72"/>
      <c r="T189" s="72"/>
      <c r="U189" s="72"/>
    </row>
    <row r="190" ht="15.75" customHeight="1"/>
    <row r="191" ht="15.75" customHeight="1"/>
    <row r="192" ht="15.75" customHeight="1">
      <c r="A192" s="99"/>
      <c r="B192" s="100" t="s">
        <v>112</v>
      </c>
      <c r="C192" s="101" t="s">
        <v>113</v>
      </c>
      <c r="D192" s="101" t="s">
        <v>114</v>
      </c>
      <c r="E192" s="101"/>
      <c r="F192" s="102"/>
      <c r="G192" s="103"/>
      <c r="H192" s="102" t="s">
        <v>115</v>
      </c>
      <c r="I192" s="102"/>
      <c r="J192" s="101"/>
      <c r="K192" s="101" t="s">
        <v>116</v>
      </c>
      <c r="L192" s="101" t="s">
        <v>117</v>
      </c>
      <c r="M192" s="104" t="s">
        <v>118</v>
      </c>
      <c r="N192" s="101"/>
      <c r="O192" s="105"/>
      <c r="P192" s="105"/>
      <c r="Q192" s="101"/>
      <c r="R192" s="106"/>
      <c r="S192" s="107"/>
      <c r="T192" s="107"/>
      <c r="U192" s="108"/>
    </row>
    <row r="193" ht="15.75" customHeight="1">
      <c r="A193" s="99"/>
      <c r="B193" s="109"/>
      <c r="C193" s="110"/>
      <c r="D193" s="111" t="s">
        <v>119</v>
      </c>
      <c r="E193" s="111" t="s">
        <v>120</v>
      </c>
      <c r="F193" s="111" t="s">
        <v>121</v>
      </c>
      <c r="G193" s="112" t="s">
        <v>122</v>
      </c>
      <c r="H193" s="111" t="s">
        <v>123</v>
      </c>
      <c r="I193" s="111" t="s">
        <v>124</v>
      </c>
      <c r="J193" s="111" t="s">
        <v>125</v>
      </c>
      <c r="K193" s="111" t="s">
        <v>126</v>
      </c>
      <c r="L193" s="111" t="s">
        <v>127</v>
      </c>
      <c r="M193" s="113" t="s">
        <v>128</v>
      </c>
      <c r="N193" s="111" t="s">
        <v>129</v>
      </c>
      <c r="O193" s="111" t="s">
        <v>123</v>
      </c>
      <c r="P193" s="110" t="s">
        <v>130</v>
      </c>
      <c r="Q193" s="111" t="s">
        <v>131</v>
      </c>
      <c r="R193" s="114" t="s">
        <v>132</v>
      </c>
      <c r="S193" s="115"/>
      <c r="T193" s="115"/>
      <c r="U193" s="116"/>
    </row>
    <row r="194" ht="15.75" customHeight="1">
      <c r="A194" s="99"/>
      <c r="B194" s="117"/>
      <c r="C194" s="118"/>
      <c r="D194" s="111" t="s">
        <v>133</v>
      </c>
      <c r="E194" s="111" t="s">
        <v>134</v>
      </c>
      <c r="F194" s="115" t="s">
        <v>135</v>
      </c>
      <c r="G194" s="116" t="s">
        <v>136</v>
      </c>
      <c r="H194" s="111" t="s">
        <v>137</v>
      </c>
      <c r="I194" s="111" t="s">
        <v>138</v>
      </c>
      <c r="J194" s="111" t="s">
        <v>139</v>
      </c>
      <c r="K194" s="111" t="s">
        <v>137</v>
      </c>
      <c r="L194" s="111" t="s">
        <v>140</v>
      </c>
      <c r="M194" s="113" t="s">
        <v>141</v>
      </c>
      <c r="N194" s="111" t="s">
        <v>142</v>
      </c>
      <c r="O194" s="111" t="s">
        <v>143</v>
      </c>
      <c r="P194" s="115" t="s">
        <v>144</v>
      </c>
      <c r="Q194" s="111" t="s">
        <v>145</v>
      </c>
      <c r="R194" s="115" t="s">
        <v>146</v>
      </c>
      <c r="S194" s="115" t="s">
        <v>147</v>
      </c>
      <c r="T194" s="115" t="s">
        <v>148</v>
      </c>
      <c r="U194" s="116" t="s">
        <v>149</v>
      </c>
    </row>
    <row r="195">
      <c r="A195" s="99"/>
      <c r="B195" s="119"/>
      <c r="C195" s="120"/>
      <c r="D195" s="121" t="s">
        <v>134</v>
      </c>
      <c r="E195" s="121"/>
      <c r="F195" s="120"/>
      <c r="G195" s="122"/>
      <c r="H195" s="123" t="s">
        <v>150</v>
      </c>
      <c r="I195" s="123" t="s">
        <v>151</v>
      </c>
      <c r="J195" s="120"/>
      <c r="K195" s="124" t="s">
        <v>152</v>
      </c>
      <c r="L195" s="125" t="s">
        <v>153</v>
      </c>
      <c r="M195" s="126" t="s">
        <v>154</v>
      </c>
      <c r="N195" s="125" t="s">
        <v>155</v>
      </c>
      <c r="O195" s="124" t="s">
        <v>156</v>
      </c>
      <c r="P195" s="121"/>
      <c r="Q195" s="125"/>
      <c r="R195" s="127"/>
      <c r="S195" s="127"/>
      <c r="T195" s="121" t="s">
        <v>157</v>
      </c>
      <c r="U195" s="128"/>
    </row>
    <row r="196" ht="15.75" customHeight="1">
      <c r="A196" s="129"/>
      <c r="B196" s="268" t="s">
        <v>239</v>
      </c>
      <c r="C196" s="279" t="s">
        <v>240</v>
      </c>
      <c r="D196" s="286">
        <v>1.3</v>
      </c>
      <c r="E196" s="286">
        <v>0.15</v>
      </c>
      <c r="F196" s="285">
        <v>6.9</v>
      </c>
      <c r="G196" s="287">
        <v>0.438</v>
      </c>
      <c r="H196" s="135">
        <f t="shared" ref="H196:H200" si="25">D196*0.15</f>
        <v>0.195</v>
      </c>
      <c r="I196" s="135">
        <f t="shared" ref="I196:I200" si="26">G196*E196/$I$229/0.15</f>
        <v>1</v>
      </c>
      <c r="J196" s="135">
        <f t="shared" ref="J196:J200" si="27">sqrt(F196/6.9)</f>
        <v>1</v>
      </c>
      <c r="K196" s="136">
        <f t="shared" ref="K196:K200" si="28">I196*J196</f>
        <v>1</v>
      </c>
      <c r="L196" s="137">
        <f t="shared" ref="L196:L200" si="29">H196*K196</f>
        <v>0.195</v>
      </c>
      <c r="M196" s="138"/>
      <c r="N196" s="139"/>
      <c r="O196" s="140"/>
      <c r="P196" s="141"/>
      <c r="Q196" s="142"/>
      <c r="R196" s="143"/>
      <c r="S196" s="143"/>
      <c r="T196" s="144"/>
      <c r="U196" s="145"/>
    </row>
    <row r="197" ht="15.75" customHeight="1">
      <c r="A197" s="129"/>
      <c r="B197" s="268" t="s">
        <v>239</v>
      </c>
      <c r="C197" s="279" t="s">
        <v>241</v>
      </c>
      <c r="D197" s="286">
        <v>1.9</v>
      </c>
      <c r="E197" s="286">
        <v>0.15</v>
      </c>
      <c r="F197" s="285">
        <v>6.9</v>
      </c>
      <c r="G197" s="287">
        <v>0.438</v>
      </c>
      <c r="H197" s="135">
        <f t="shared" si="25"/>
        <v>0.285</v>
      </c>
      <c r="I197" s="135">
        <f t="shared" si="26"/>
        <v>1</v>
      </c>
      <c r="J197" s="135">
        <f t="shared" si="27"/>
        <v>1</v>
      </c>
      <c r="K197" s="136">
        <f t="shared" si="28"/>
        <v>1</v>
      </c>
      <c r="L197" s="137">
        <f t="shared" si="29"/>
        <v>0.285</v>
      </c>
      <c r="M197" s="138"/>
      <c r="N197" s="139"/>
      <c r="O197" s="140"/>
      <c r="P197" s="141"/>
      <c r="Q197" s="142"/>
      <c r="R197" s="143"/>
      <c r="S197" s="143"/>
      <c r="T197" s="144"/>
      <c r="U197" s="145"/>
    </row>
    <row r="198" ht="15.75" customHeight="1">
      <c r="A198" s="129"/>
      <c r="B198" s="268" t="s">
        <v>239</v>
      </c>
      <c r="C198" s="279" t="s">
        <v>242</v>
      </c>
      <c r="D198" s="286">
        <v>0.0</v>
      </c>
      <c r="E198" s="286">
        <v>0.15</v>
      </c>
      <c r="F198" s="285">
        <v>6.9</v>
      </c>
      <c r="G198" s="287">
        <v>0.438</v>
      </c>
      <c r="H198" s="135">
        <f t="shared" si="25"/>
        <v>0</v>
      </c>
      <c r="I198" s="135">
        <f t="shared" si="26"/>
        <v>1</v>
      </c>
      <c r="J198" s="135">
        <f t="shared" si="27"/>
        <v>1</v>
      </c>
      <c r="K198" s="136">
        <f t="shared" si="28"/>
        <v>1</v>
      </c>
      <c r="L198" s="137">
        <f t="shared" si="29"/>
        <v>0</v>
      </c>
      <c r="M198" s="138"/>
      <c r="N198" s="139"/>
      <c r="O198" s="140"/>
      <c r="P198" s="141"/>
      <c r="Q198" s="142"/>
      <c r="R198" s="143"/>
      <c r="S198" s="143"/>
      <c r="T198" s="144"/>
      <c r="U198" s="145"/>
    </row>
    <row r="199" ht="15.75" customHeight="1">
      <c r="A199" s="129"/>
      <c r="B199" s="268" t="s">
        <v>239</v>
      </c>
      <c r="C199" s="279" t="s">
        <v>243</v>
      </c>
      <c r="D199" s="286">
        <v>1.9</v>
      </c>
      <c r="E199" s="286">
        <v>0.15</v>
      </c>
      <c r="F199" s="285">
        <v>6.9</v>
      </c>
      <c r="G199" s="287">
        <v>0.438</v>
      </c>
      <c r="H199" s="135">
        <f t="shared" si="25"/>
        <v>0.285</v>
      </c>
      <c r="I199" s="135">
        <f t="shared" si="26"/>
        <v>1</v>
      </c>
      <c r="J199" s="135">
        <f t="shared" si="27"/>
        <v>1</v>
      </c>
      <c r="K199" s="136">
        <f t="shared" si="28"/>
        <v>1</v>
      </c>
      <c r="L199" s="137">
        <f t="shared" si="29"/>
        <v>0.285</v>
      </c>
      <c r="M199" s="138"/>
      <c r="N199" s="139"/>
      <c r="O199" s="140"/>
      <c r="P199" s="153"/>
      <c r="Q199" s="142"/>
      <c r="R199" s="143"/>
      <c r="S199" s="143"/>
      <c r="T199" s="144"/>
      <c r="U199" s="145"/>
    </row>
    <row r="200" ht="15.75" customHeight="1">
      <c r="A200" s="129"/>
      <c r="B200" s="268" t="s">
        <v>239</v>
      </c>
      <c r="C200" s="279" t="s">
        <v>244</v>
      </c>
      <c r="D200" s="286">
        <v>1.3</v>
      </c>
      <c r="E200" s="286">
        <v>0.15</v>
      </c>
      <c r="F200" s="285">
        <v>6.9</v>
      </c>
      <c r="G200" s="287">
        <v>0.438</v>
      </c>
      <c r="H200" s="135">
        <f t="shared" si="25"/>
        <v>0.195</v>
      </c>
      <c r="I200" s="135">
        <f t="shared" si="26"/>
        <v>1</v>
      </c>
      <c r="J200" s="135">
        <f t="shared" si="27"/>
        <v>1</v>
      </c>
      <c r="K200" s="136">
        <f t="shared" si="28"/>
        <v>1</v>
      </c>
      <c r="L200" s="137">
        <f t="shared" si="29"/>
        <v>0.195</v>
      </c>
      <c r="M200" s="138"/>
      <c r="N200" s="139"/>
      <c r="O200" s="140"/>
      <c r="P200" s="141"/>
      <c r="Q200" s="142"/>
      <c r="R200" s="143"/>
      <c r="S200" s="143"/>
      <c r="T200" s="144"/>
      <c r="U200" s="145"/>
    </row>
    <row r="201" ht="15.75" customHeight="1">
      <c r="A201" s="129"/>
      <c r="B201" s="268" t="s">
        <v>239</v>
      </c>
      <c r="C201" s="281"/>
      <c r="D201" s="286"/>
      <c r="E201" s="286"/>
      <c r="F201" s="285"/>
      <c r="G201" s="287"/>
      <c r="H201" s="135"/>
      <c r="I201" s="135"/>
      <c r="J201" s="135"/>
      <c r="K201" s="136"/>
      <c r="L201" s="137"/>
      <c r="M201" s="151" t="s">
        <v>141</v>
      </c>
      <c r="N201" s="137">
        <f>SUM(L196:L200)</f>
        <v>0.96</v>
      </c>
      <c r="O201" s="140">
        <f>P178/2</f>
        <v>27.01</v>
      </c>
      <c r="P201" s="141">
        <f>N201/O201</f>
        <v>0.03554239171</v>
      </c>
      <c r="Q201" s="142">
        <f>P201/$I$246</f>
        <v>1.239065023</v>
      </c>
      <c r="R201" s="143">
        <f>IF(D$183="Légère",IF($M201="Exterieur",VLOOKUP(D$179,Reference!$B$37:$Y$42,13,0),VLOOKUP(D$179,Reference!$B$37:$Y$42,15,0)),IF(P$185&gt;3,IF($M201="Exterieur",VLOOKUP(D$179,Reference!$B$37:$Y$42,21,0),VLOOKUP(D$179,Reference!$B$37:$Y$42,23,0)),IF($M201="Exterieur",VLOOKUP(D$179,Reference!$B$37:$Y$42,17,0),VLOOKUP(D$179,Reference!$B$37:$Y$42,19,0))))</f>
        <v>1</v>
      </c>
      <c r="S201" s="143">
        <f>IF(D$183="Légère",IF($M201="Exterieur",VLOOKUP(D$179,Reference!$B$37:$Y$42,14,0),VLOOKUP(D$179,Reference!$B$37:$Y$42,16,0)),IF(P$185&gt;3,IF($M201="Exterieur",VLOOKUP(D$179,Reference!$B$37:$Y$42,22,0),VLOOKUP(D$179,Reference!$B$37:$Y$42,24,0)),IF($M201="Exterieur",VLOOKUP(D$179,Reference!$B$37:$Y$42,18,0),VLOOKUP(D$179,Reference!$B$37:$Y$42,20,0))))</f>
        <v>3</v>
      </c>
      <c r="T201" s="144">
        <f>R201/Q201</f>
        <v>0.8070601473</v>
      </c>
      <c r="U201" s="145" t="str">
        <f>if(and(Q201&gt;=R201,Q201&lt;=S201),"OK","NG")</f>
        <v>OK</v>
      </c>
    </row>
    <row r="202" ht="15.75" customHeight="1">
      <c r="A202" s="129"/>
      <c r="B202" s="268" t="s">
        <v>98</v>
      </c>
      <c r="C202" s="279" t="s">
        <v>245</v>
      </c>
      <c r="D202" s="286">
        <v>1.3</v>
      </c>
      <c r="E202" s="286">
        <v>0.15</v>
      </c>
      <c r="F202" s="285">
        <v>6.9</v>
      </c>
      <c r="G202" s="287">
        <v>0.438</v>
      </c>
      <c r="H202" s="135">
        <f t="shared" ref="H202:H206" si="30">D202*0.15</f>
        <v>0.195</v>
      </c>
      <c r="I202" s="135">
        <f t="shared" ref="I202:I206" si="31">G202*E202/$I$229/0.15</f>
        <v>1</v>
      </c>
      <c r="J202" s="135">
        <f t="shared" ref="J202:J206" si="32">sqrt(F202/6.9)</f>
        <v>1</v>
      </c>
      <c r="K202" s="136">
        <f t="shared" ref="K202:K206" si="33">I202*J202</f>
        <v>1</v>
      </c>
      <c r="L202" s="137">
        <f t="shared" ref="L202:L206" si="34">H202*K202</f>
        <v>0.195</v>
      </c>
      <c r="M202" s="151"/>
      <c r="N202" s="139"/>
      <c r="O202" s="283"/>
      <c r="P202" s="141"/>
      <c r="Q202" s="142"/>
      <c r="R202" s="143"/>
      <c r="S202" s="143"/>
      <c r="T202" s="144"/>
      <c r="U202" s="145"/>
    </row>
    <row r="203" ht="15.75" customHeight="1">
      <c r="A203" s="129"/>
      <c r="B203" s="268" t="s">
        <v>98</v>
      </c>
      <c r="C203" s="279" t="s">
        <v>246</v>
      </c>
      <c r="D203" s="286">
        <v>1.9</v>
      </c>
      <c r="E203" s="286">
        <v>0.15</v>
      </c>
      <c r="F203" s="285">
        <v>6.9</v>
      </c>
      <c r="G203" s="287">
        <v>0.438</v>
      </c>
      <c r="H203" s="135">
        <f t="shared" si="30"/>
        <v>0.285</v>
      </c>
      <c r="I203" s="135">
        <f t="shared" si="31"/>
        <v>1</v>
      </c>
      <c r="J203" s="135">
        <f t="shared" si="32"/>
        <v>1</v>
      </c>
      <c r="K203" s="136">
        <f t="shared" si="33"/>
        <v>1</v>
      </c>
      <c r="L203" s="137">
        <f t="shared" si="34"/>
        <v>0.285</v>
      </c>
      <c r="M203" s="151"/>
      <c r="N203" s="139"/>
      <c r="O203" s="140"/>
      <c r="P203" s="153"/>
      <c r="Q203" s="142"/>
      <c r="R203" s="143"/>
      <c r="S203" s="143"/>
      <c r="T203" s="144"/>
      <c r="U203" s="145"/>
    </row>
    <row r="204" ht="15.75" customHeight="1">
      <c r="A204" s="129"/>
      <c r="B204" s="268" t="s">
        <v>98</v>
      </c>
      <c r="C204" s="279" t="s">
        <v>247</v>
      </c>
      <c r="D204" s="286">
        <v>0.0</v>
      </c>
      <c r="E204" s="286">
        <v>0.15</v>
      </c>
      <c r="F204" s="285">
        <v>6.9</v>
      </c>
      <c r="G204" s="287">
        <v>0.438</v>
      </c>
      <c r="H204" s="135">
        <f t="shared" si="30"/>
        <v>0</v>
      </c>
      <c r="I204" s="135">
        <f t="shared" si="31"/>
        <v>1</v>
      </c>
      <c r="J204" s="135">
        <f t="shared" si="32"/>
        <v>1</v>
      </c>
      <c r="K204" s="136">
        <f t="shared" si="33"/>
        <v>1</v>
      </c>
      <c r="L204" s="137">
        <f t="shared" si="34"/>
        <v>0</v>
      </c>
      <c r="M204" s="151"/>
      <c r="N204" s="139"/>
      <c r="O204" s="140"/>
      <c r="P204" s="141"/>
      <c r="Q204" s="142"/>
      <c r="R204" s="143"/>
      <c r="S204" s="143"/>
      <c r="T204" s="144"/>
      <c r="U204" s="145"/>
    </row>
    <row r="205" ht="15.75" customHeight="1">
      <c r="A205" s="129"/>
      <c r="B205" s="268" t="s">
        <v>98</v>
      </c>
      <c r="C205" s="279" t="s">
        <v>248</v>
      </c>
      <c r="D205" s="286">
        <v>1.9</v>
      </c>
      <c r="E205" s="286">
        <v>0.15</v>
      </c>
      <c r="F205" s="285">
        <v>6.9</v>
      </c>
      <c r="G205" s="287">
        <v>0.438</v>
      </c>
      <c r="H205" s="135">
        <f t="shared" si="30"/>
        <v>0.285</v>
      </c>
      <c r="I205" s="135">
        <f t="shared" si="31"/>
        <v>1</v>
      </c>
      <c r="J205" s="135">
        <f t="shared" si="32"/>
        <v>1</v>
      </c>
      <c r="K205" s="136">
        <f t="shared" si="33"/>
        <v>1</v>
      </c>
      <c r="L205" s="137">
        <f t="shared" si="34"/>
        <v>0.285</v>
      </c>
      <c r="M205" s="151"/>
      <c r="N205" s="139"/>
      <c r="O205" s="140"/>
      <c r="P205" s="153"/>
      <c r="Q205" s="142"/>
      <c r="R205" s="143"/>
      <c r="S205" s="143"/>
      <c r="T205" s="144"/>
      <c r="U205" s="145"/>
    </row>
    <row r="206" ht="15.75" customHeight="1">
      <c r="A206" s="129"/>
      <c r="B206" s="268" t="s">
        <v>98</v>
      </c>
      <c r="C206" s="279" t="s">
        <v>249</v>
      </c>
      <c r="D206" s="286">
        <v>1.3</v>
      </c>
      <c r="E206" s="286">
        <v>0.15</v>
      </c>
      <c r="F206" s="285">
        <v>6.9</v>
      </c>
      <c r="G206" s="287">
        <v>0.438</v>
      </c>
      <c r="H206" s="135">
        <f t="shared" si="30"/>
        <v>0.195</v>
      </c>
      <c r="I206" s="135">
        <f t="shared" si="31"/>
        <v>1</v>
      </c>
      <c r="J206" s="135">
        <f t="shared" si="32"/>
        <v>1</v>
      </c>
      <c r="K206" s="136">
        <f t="shared" si="33"/>
        <v>1</v>
      </c>
      <c r="L206" s="137">
        <f t="shared" si="34"/>
        <v>0.195</v>
      </c>
      <c r="M206" s="138"/>
      <c r="N206" s="139"/>
      <c r="O206" s="140"/>
      <c r="P206" s="153"/>
      <c r="Q206" s="142"/>
      <c r="R206" s="143"/>
      <c r="S206" s="143"/>
      <c r="T206" s="144"/>
      <c r="U206" s="145"/>
    </row>
    <row r="207" ht="15.75" customHeight="1">
      <c r="A207" s="129"/>
      <c r="B207" s="268" t="s">
        <v>98</v>
      </c>
      <c r="C207" s="269"/>
      <c r="D207" s="152"/>
      <c r="E207" s="152"/>
      <c r="F207" s="270"/>
      <c r="G207" s="271"/>
      <c r="H207" s="135"/>
      <c r="I207" s="135"/>
      <c r="J207" s="155"/>
      <c r="K207" s="136"/>
      <c r="L207" s="137"/>
      <c r="M207" s="151" t="s">
        <v>141</v>
      </c>
      <c r="N207" s="137">
        <f>SUM(L202:L206)</f>
        <v>0.96</v>
      </c>
      <c r="O207" s="285">
        <f>P178/2</f>
        <v>27.01</v>
      </c>
      <c r="P207" s="141">
        <f>N207/O207</f>
        <v>0.03554239171</v>
      </c>
      <c r="Q207" s="142">
        <f>P207/$I$246</f>
        <v>1.239065023</v>
      </c>
      <c r="R207" s="143">
        <f>IF(D$183="Légère",IF($M207="Exterieur",VLOOKUP(D$179,Reference!$B$37:$Y$42,13,0),VLOOKUP(D$179,Reference!$B$37:$Y$42,15,0)),IF(P$185&gt;3,IF($M207="Exterieur",VLOOKUP(D$179,Reference!$B$37:$Y$42,21,0),VLOOKUP(D$179,Reference!$B$37:$Y$42,23,0)),IF($M207="Exterieur",VLOOKUP(D$179,Reference!$B$37:$Y$42,17,0),VLOOKUP(D$179,Reference!$B$37:$Y$42,19,0))))</f>
        <v>1</v>
      </c>
      <c r="S207" s="143">
        <f>IF(D$183="Légère",IF($M207="Exterieur",VLOOKUP(D$179,Reference!$B$37:$Y$42,14,0),VLOOKUP(D$179,Reference!$B$37:$Y$42,16,0)),IF(P$185&gt;3,IF($M207="Exterieur",VLOOKUP(D$179,Reference!$B$37:$Y$42,22,0),VLOOKUP(D$179,Reference!$B$37:$Y$42,24,0)),IF($M207="Exterieur",VLOOKUP(D$179,Reference!$B$37:$Y$42,18,0),VLOOKUP(D$179,Reference!$B$37:$Y$42,20,0))))</f>
        <v>3</v>
      </c>
      <c r="T207" s="144">
        <f>R207/Q207</f>
        <v>0.8070601473</v>
      </c>
      <c r="U207" s="145" t="str">
        <f>if(and(Q207&gt;=R207,Q207&lt;=S207),"OK","NG")</f>
        <v>OK</v>
      </c>
    </row>
    <row r="208" ht="15.75" customHeight="1">
      <c r="A208" s="129"/>
      <c r="B208" s="156"/>
      <c r="C208" s="157"/>
      <c r="D208" s="158"/>
      <c r="E208" s="158"/>
      <c r="F208" s="159"/>
      <c r="G208" s="160"/>
      <c r="H208" s="161"/>
      <c r="I208" s="161"/>
      <c r="J208" s="162"/>
      <c r="K208" s="163"/>
      <c r="L208" s="164"/>
      <c r="M208" s="165"/>
      <c r="N208" s="166"/>
      <c r="O208" s="167"/>
      <c r="P208" s="168"/>
      <c r="Q208" s="169"/>
      <c r="R208" s="170"/>
      <c r="S208" s="170"/>
      <c r="T208" s="171"/>
      <c r="U208" s="128"/>
    </row>
    <row r="209" ht="15.75" customHeight="1">
      <c r="B209" s="172" t="s">
        <v>159</v>
      </c>
      <c r="C209" s="173"/>
      <c r="D209" s="173"/>
      <c r="E209" s="173"/>
      <c r="F209" s="173"/>
      <c r="G209" s="263"/>
      <c r="H209" s="175"/>
      <c r="I209" s="175"/>
      <c r="J209" s="272"/>
      <c r="K209" s="176" t="s">
        <v>160</v>
      </c>
      <c r="L209" s="177">
        <f>SUM(L196:L208)</f>
        <v>1.92</v>
      </c>
      <c r="M209" s="178" t="s">
        <v>250</v>
      </c>
      <c r="N209" s="177">
        <f t="shared" ref="N209:O209" si="35">SUM(N196:N208)</f>
        <v>1.92</v>
      </c>
      <c r="O209" s="179">
        <f t="shared" si="35"/>
        <v>54.02</v>
      </c>
      <c r="P209" s="180">
        <f>N209/O209</f>
        <v>0.03554239171</v>
      </c>
      <c r="Q209" s="169">
        <f>P209/$I$75</f>
        <v>0.6215150156</v>
      </c>
      <c r="R209" s="181">
        <v>1.0</v>
      </c>
      <c r="S209" s="182" t="s">
        <v>162</v>
      </c>
      <c r="T209" s="183">
        <f>max(T196:T208)</f>
        <v>0.8070601473</v>
      </c>
      <c r="U209" s="128" t="str">
        <f>if(COUNTIF(U196:U208, "NG")&gt;0,"NG",if($P$209&gt;=$I$246,"OK","NG"))</f>
        <v>OK</v>
      </c>
    </row>
    <row r="210" ht="15.75" customHeight="1">
      <c r="B210" s="184"/>
      <c r="C210" s="184"/>
      <c r="D210" s="184"/>
      <c r="E210" s="184"/>
      <c r="F210" s="184"/>
      <c r="G210" s="185"/>
      <c r="H210" s="185"/>
      <c r="I210" s="186"/>
      <c r="J210" s="187"/>
      <c r="K210" s="70" t="s">
        <v>163</v>
      </c>
      <c r="L210" s="188">
        <f>IF(ISERROR(L209/$R$186),"",L209/$R$186)</f>
        <v>0.03554239171</v>
      </c>
      <c r="M210" s="189" t="s">
        <v>164</v>
      </c>
      <c r="N210" s="186"/>
      <c r="O210" s="190">
        <f>R186</f>
        <v>54.02</v>
      </c>
      <c r="P210" s="191">
        <f>L210</f>
        <v>0.03554239171</v>
      </c>
      <c r="Q210" s="185" t="s">
        <v>165</v>
      </c>
      <c r="T210" s="68"/>
      <c r="U210" s="68"/>
      <c r="V210" s="68"/>
    </row>
    <row r="211" ht="15.75" customHeight="1">
      <c r="B211" s="184"/>
      <c r="C211" s="184"/>
      <c r="D211" s="184"/>
      <c r="E211" s="184"/>
      <c r="F211" s="184"/>
      <c r="G211" s="185"/>
      <c r="H211" s="185"/>
      <c r="I211" s="186"/>
      <c r="J211" s="187"/>
      <c r="K211" s="77" t="s">
        <v>166</v>
      </c>
      <c r="L211" s="192">
        <f>I246</f>
        <v>0.02868484789</v>
      </c>
      <c r="M211" s="71" t="s">
        <v>167</v>
      </c>
      <c r="N211" s="68"/>
      <c r="O211" s="97">
        <f>I248</f>
        <v>0.8070601473</v>
      </c>
      <c r="P211" s="68"/>
      <c r="Q211" s="68"/>
      <c r="T211" s="68"/>
      <c r="U211" s="68"/>
      <c r="V211" s="68"/>
    </row>
    <row r="212" ht="15.75" customHeight="1">
      <c r="B212" s="193"/>
      <c r="C212" s="193"/>
      <c r="D212" s="193"/>
      <c r="E212" s="193"/>
      <c r="F212" s="193"/>
      <c r="G212" s="194"/>
      <c r="H212" s="194"/>
      <c r="I212" s="195"/>
      <c r="J212" s="197"/>
      <c r="K212" s="90"/>
      <c r="L212" s="129"/>
      <c r="M212" s="26"/>
      <c r="O212" s="198"/>
    </row>
    <row r="213" ht="15.75" customHeight="1">
      <c r="B213" s="193"/>
      <c r="C213" s="193"/>
      <c r="D213" s="193"/>
      <c r="E213" s="193"/>
      <c r="F213" s="193"/>
      <c r="G213" s="194"/>
      <c r="H213" s="194"/>
      <c r="I213" s="195"/>
      <c r="J213" s="197"/>
      <c r="K213" s="90"/>
      <c r="L213" s="129"/>
      <c r="M213" s="26"/>
      <c r="O213" s="198"/>
    </row>
    <row r="214" ht="15.75" customHeight="1">
      <c r="B214" s="193"/>
      <c r="C214" s="193"/>
      <c r="D214" s="193"/>
      <c r="E214" s="193"/>
      <c r="F214" s="193"/>
      <c r="G214" s="194"/>
      <c r="H214" s="194"/>
      <c r="I214" s="195"/>
      <c r="J214" s="197"/>
      <c r="K214" s="90"/>
      <c r="L214" s="129"/>
      <c r="M214" s="26"/>
      <c r="O214" s="198"/>
    </row>
    <row r="215" ht="15.75" customHeight="1">
      <c r="A215" s="47"/>
      <c r="B215" s="43"/>
      <c r="C215" s="44"/>
      <c r="D215" s="43"/>
      <c r="E215" s="43"/>
      <c r="F215" s="43"/>
      <c r="G215" s="43"/>
      <c r="H215" s="43"/>
      <c r="I215" s="43"/>
      <c r="J215" s="43"/>
      <c r="K215" s="43"/>
      <c r="L215" s="43"/>
      <c r="M215" s="43"/>
      <c r="N215" s="43"/>
      <c r="O215" s="45"/>
      <c r="P215" s="43"/>
      <c r="Q215" s="47"/>
      <c r="R215" s="46"/>
      <c r="S215" s="47"/>
    </row>
    <row r="216" ht="15.75" customHeight="1">
      <c r="A216" s="47"/>
      <c r="B216" s="49" t="s">
        <v>75</v>
      </c>
      <c r="C216" s="50"/>
      <c r="D216" s="51"/>
      <c r="E216" s="51"/>
      <c r="F216" s="51"/>
      <c r="G216" s="51"/>
      <c r="H216" s="51"/>
      <c r="I216" s="51"/>
      <c r="J216" s="51"/>
      <c r="K216" s="51"/>
      <c r="L216" s="51"/>
      <c r="M216" s="51"/>
      <c r="N216" s="52" t="s">
        <v>76</v>
      </c>
      <c r="O216" s="52"/>
      <c r="P216" s="51"/>
      <c r="Q216" s="51"/>
      <c r="R216" s="53"/>
      <c r="S216" s="54"/>
    </row>
    <row r="217" ht="15.75" customHeight="1">
      <c r="A217" s="47"/>
      <c r="B217" s="49" t="s">
        <v>77</v>
      </c>
      <c r="C217" s="55" t="s">
        <v>78</v>
      </c>
      <c r="D217" s="56"/>
      <c r="E217" s="51"/>
      <c r="F217" s="51"/>
      <c r="G217" s="51"/>
      <c r="H217" s="51"/>
      <c r="I217" s="51"/>
      <c r="J217" s="51"/>
      <c r="K217" s="51"/>
      <c r="L217" s="51"/>
      <c r="M217" s="51"/>
      <c r="N217" s="57" t="s">
        <v>79</v>
      </c>
      <c r="O217" s="57"/>
      <c r="P217" s="51"/>
      <c r="Q217" s="51"/>
      <c r="R217" s="53"/>
      <c r="S217" s="54"/>
    </row>
    <row r="218" ht="15.75" customHeight="1">
      <c r="A218" s="47"/>
      <c r="B218" s="51"/>
      <c r="C218" s="52"/>
      <c r="D218" s="56"/>
      <c r="E218" s="51"/>
      <c r="F218" s="51"/>
      <c r="G218" s="51"/>
      <c r="H218" s="51"/>
      <c r="I218" s="51"/>
      <c r="J218" s="51"/>
      <c r="K218" s="51"/>
      <c r="L218" s="51"/>
      <c r="M218" s="51"/>
      <c r="N218" s="57" t="s">
        <v>80</v>
      </c>
      <c r="O218" s="57"/>
      <c r="P218" s="51"/>
      <c r="Q218" s="51"/>
      <c r="R218" s="53"/>
      <c r="S218" s="54"/>
    </row>
    <row r="219" ht="15.75" customHeight="1">
      <c r="A219" s="33"/>
      <c r="B219" s="33"/>
      <c r="C219" s="46"/>
      <c r="D219" s="33"/>
      <c r="E219" s="33"/>
      <c r="F219" s="33"/>
      <c r="G219" s="33"/>
      <c r="H219" s="33"/>
      <c r="I219" s="33"/>
      <c r="J219" s="33"/>
      <c r="K219" s="33"/>
      <c r="L219" s="33"/>
      <c r="M219" s="33"/>
      <c r="N219" s="33"/>
      <c r="O219" s="33"/>
      <c r="P219" s="33"/>
      <c r="Q219" s="33"/>
      <c r="R219" s="46"/>
      <c r="S219" s="33"/>
    </row>
    <row r="220" ht="15.75" customHeight="1">
      <c r="O220" s="199"/>
      <c r="P220" s="199"/>
      <c r="R220" s="199"/>
      <c r="S220" s="199"/>
    </row>
    <row r="221" ht="15.75" customHeight="1">
      <c r="O221" s="199"/>
      <c r="P221" s="199"/>
      <c r="R221" s="199"/>
      <c r="S221" s="199"/>
    </row>
    <row r="222" ht="21.0" customHeight="1">
      <c r="A222" s="200"/>
      <c r="B222" s="201" t="s">
        <v>253</v>
      </c>
      <c r="C222" s="201"/>
      <c r="D222" s="202"/>
      <c r="E222" s="202"/>
      <c r="F222" s="202"/>
      <c r="G222" s="203"/>
      <c r="H222" s="203"/>
      <c r="I222" s="204"/>
      <c r="J222" s="199"/>
      <c r="K222" s="199"/>
      <c r="L222" s="205"/>
      <c r="O222" s="199"/>
      <c r="P222" s="199"/>
      <c r="Q222" s="199"/>
      <c r="R222" s="199"/>
      <c r="T222" s="206"/>
      <c r="U222" s="206"/>
    </row>
    <row r="223" ht="15.75" customHeight="1">
      <c r="B223" s="33"/>
      <c r="C223" s="199"/>
      <c r="D223" s="199"/>
      <c r="E223" s="207"/>
      <c r="F223" s="207"/>
      <c r="G223" s="213"/>
      <c r="H223" s="213"/>
      <c r="I223" s="264"/>
      <c r="J223" s="207"/>
      <c r="K223" s="207"/>
      <c r="L223" s="207"/>
      <c r="M223" s="207"/>
      <c r="N223" s="207"/>
      <c r="O223" s="207"/>
      <c r="P223" s="207"/>
      <c r="Q223" s="199"/>
      <c r="R223" s="199"/>
      <c r="T223" s="206"/>
      <c r="U223" s="206"/>
    </row>
    <row r="224" ht="15.75" customHeight="1">
      <c r="B224" s="229" t="s">
        <v>254</v>
      </c>
      <c r="C224" s="199"/>
      <c r="D224" s="199"/>
      <c r="E224" s="207"/>
      <c r="F224" s="207"/>
      <c r="G224" s="208"/>
      <c r="H224" s="208" t="s">
        <v>170</v>
      </c>
      <c r="I224" s="209">
        <f>D189</f>
        <v>1.3992</v>
      </c>
      <c r="J224" s="210" t="s">
        <v>171</v>
      </c>
      <c r="K224" s="211"/>
      <c r="L224" s="211"/>
      <c r="M224" s="207"/>
      <c r="N224" s="207"/>
      <c r="O224" s="207"/>
      <c r="P224" s="207"/>
      <c r="Q224" s="199"/>
      <c r="R224" s="199"/>
      <c r="T224" s="206"/>
      <c r="U224" s="206"/>
    </row>
    <row r="225" ht="15.75" customHeight="1">
      <c r="B225" s="33"/>
      <c r="C225" s="199"/>
      <c r="D225" s="199"/>
      <c r="E225" s="207"/>
      <c r="F225" s="207"/>
      <c r="G225" s="213"/>
      <c r="H225" s="208" t="s">
        <v>172</v>
      </c>
      <c r="I225" s="209">
        <f>if($D$183="Lourde",lookup($D$179,Reference!$B$37:$B$42,Reference!$I$37:$I$42),lookup($D$179,Reference!$B$37:$B$42,Reference!$J$37:$J$42))</f>
        <v>0.94</v>
      </c>
      <c r="J225" s="210" t="s">
        <v>173</v>
      </c>
      <c r="K225" s="207"/>
      <c r="L225" s="207"/>
      <c r="M225" s="207"/>
      <c r="N225" s="207"/>
      <c r="O225" s="207"/>
      <c r="P225" s="207"/>
      <c r="Q225" s="199"/>
      <c r="R225" s="199"/>
      <c r="T225" s="206"/>
      <c r="U225" s="206"/>
      <c r="V225" s="206"/>
    </row>
    <row r="226" ht="15.75" customHeight="1">
      <c r="B226" s="33"/>
      <c r="C226" s="199"/>
      <c r="D226" s="199"/>
      <c r="E226" s="207"/>
      <c r="F226" s="207"/>
      <c r="G226" s="213"/>
      <c r="H226" s="208" t="s">
        <v>174</v>
      </c>
      <c r="I226" s="209">
        <f>if($D$183="Lourde",lookup($D$179,Reference!$B$37:$B$42,Reference!$G$37:$G$42),lookup($D$179,Reference!$B$37:$B$42,Reference!$H$37:$H$42))</f>
        <v>0.44</v>
      </c>
      <c r="J226" s="210" t="s">
        <v>175</v>
      </c>
      <c r="K226" s="207"/>
      <c r="L226" s="207"/>
      <c r="M226" s="207"/>
      <c r="N226" s="207"/>
      <c r="O226" s="207"/>
      <c r="P226" s="207"/>
      <c r="Q226" s="199"/>
      <c r="R226" s="199"/>
      <c r="T226" s="206"/>
      <c r="U226" s="206"/>
      <c r="V226" s="206"/>
    </row>
    <row r="227" ht="15.75" customHeight="1">
      <c r="B227" s="33"/>
      <c r="C227" s="199"/>
      <c r="D227" s="199"/>
      <c r="E227" s="207"/>
      <c r="F227" s="207"/>
      <c r="G227" s="208"/>
      <c r="H227" s="208" t="s">
        <v>176</v>
      </c>
      <c r="I227" s="228">
        <v>1.333</v>
      </c>
      <c r="J227" s="210" t="s">
        <v>177</v>
      </c>
      <c r="K227" s="207"/>
      <c r="L227" s="207"/>
      <c r="M227" s="207"/>
      <c r="N227" s="207"/>
      <c r="O227" s="207"/>
      <c r="P227" s="207"/>
      <c r="Q227" s="199"/>
      <c r="R227" s="199"/>
      <c r="T227" s="206"/>
      <c r="U227" s="206"/>
      <c r="V227" s="206"/>
    </row>
    <row r="228" ht="15.75" customHeight="1">
      <c r="B228" s="33"/>
      <c r="C228" s="199"/>
      <c r="D228" s="199"/>
      <c r="E228" s="207"/>
      <c r="F228" s="207"/>
      <c r="G228" s="208"/>
      <c r="H228" s="208" t="s">
        <v>178</v>
      </c>
      <c r="I228" s="228">
        <f>lookup($D$179,Reference!$B$37:$B$42,Reference!$F$37:$F$42)</f>
        <v>1</v>
      </c>
      <c r="J228" s="210" t="s">
        <v>179</v>
      </c>
      <c r="K228" s="207"/>
      <c r="L228" s="207"/>
      <c r="M228" s="207"/>
      <c r="N228" s="207"/>
      <c r="O228" s="207"/>
      <c r="P228" s="207"/>
      <c r="Q228" s="199"/>
      <c r="R228" s="199"/>
      <c r="T228" s="206"/>
      <c r="U228" s="206"/>
      <c r="V228" s="206"/>
    </row>
    <row r="229" ht="15.75" customHeight="1">
      <c r="B229" s="33"/>
      <c r="C229" s="199"/>
      <c r="D229" s="199"/>
      <c r="E229" s="207"/>
      <c r="F229" s="207"/>
      <c r="G229" s="208"/>
      <c r="H229" s="208" t="s">
        <v>180</v>
      </c>
      <c r="I229" s="216">
        <v>0.438</v>
      </c>
      <c r="J229" s="210" t="s">
        <v>181</v>
      </c>
      <c r="K229" s="207"/>
      <c r="L229" s="207"/>
      <c r="M229" s="207"/>
      <c r="N229" s="207"/>
      <c r="O229" s="207"/>
      <c r="P229" s="207"/>
      <c r="Q229" s="199"/>
      <c r="R229" s="199"/>
      <c r="T229" s="206"/>
      <c r="U229" s="206"/>
      <c r="V229" s="206"/>
    </row>
    <row r="230" ht="15.75" customHeight="1">
      <c r="B230" s="33"/>
      <c r="C230" s="199"/>
      <c r="D230" s="199"/>
      <c r="E230" s="207"/>
      <c r="F230" s="207"/>
      <c r="G230" s="208"/>
      <c r="H230" s="208" t="s">
        <v>182</v>
      </c>
      <c r="I230" s="217">
        <v>7.5735</v>
      </c>
      <c r="J230" s="218" t="s">
        <v>183</v>
      </c>
      <c r="K230" s="219">
        <f>I230*20.885</f>
        <v>158.1725475</v>
      </c>
      <c r="L230" s="211" t="s">
        <v>184</v>
      </c>
      <c r="M230" s="207"/>
      <c r="N230" s="72"/>
      <c r="O230" s="207"/>
      <c r="P230" s="207"/>
      <c r="Q230" s="199"/>
      <c r="R230" s="199"/>
      <c r="T230" s="206"/>
      <c r="U230" s="206"/>
      <c r="V230" s="206"/>
    </row>
    <row r="231" ht="15.75" customHeight="1">
      <c r="B231" s="33"/>
      <c r="C231" s="199"/>
      <c r="D231" s="199"/>
      <c r="E231" s="207"/>
      <c r="F231" s="207"/>
      <c r="G231" s="208"/>
      <c r="H231" s="208" t="s">
        <v>185</v>
      </c>
      <c r="I231" s="220">
        <v>6.9</v>
      </c>
      <c r="J231" s="221" t="s">
        <v>186</v>
      </c>
      <c r="K231" s="222">
        <f>I231*145.038</f>
        <v>1000.7622</v>
      </c>
      <c r="L231" s="223" t="s">
        <v>187</v>
      </c>
      <c r="M231" s="223" t="s">
        <v>231</v>
      </c>
      <c r="N231" s="72"/>
      <c r="O231" s="224"/>
      <c r="P231" s="224"/>
      <c r="Q231" s="33"/>
      <c r="R231" s="199"/>
      <c r="T231" s="206"/>
      <c r="U231" s="206"/>
      <c r="V231" s="206"/>
    </row>
    <row r="232" ht="15.75" customHeight="1">
      <c r="B232" s="33"/>
      <c r="C232" s="199"/>
      <c r="D232" s="199"/>
      <c r="E232" s="207"/>
      <c r="F232" s="207"/>
      <c r="G232" s="208"/>
      <c r="H232" s="208" t="s">
        <v>189</v>
      </c>
      <c r="I232" s="225">
        <f>0.1868*sqrt(I231)*1000</f>
        <v>490.683458</v>
      </c>
      <c r="J232" s="221" t="s">
        <v>183</v>
      </c>
      <c r="K232" s="222">
        <f>2.25*sqrt(K231)</f>
        <v>71.17835793</v>
      </c>
      <c r="L232" s="223" t="s">
        <v>187</v>
      </c>
      <c r="M232" s="223" t="s">
        <v>232</v>
      </c>
      <c r="N232" s="72"/>
      <c r="O232" s="223"/>
      <c r="P232" s="223"/>
      <c r="Q232" s="33"/>
      <c r="R232" s="199"/>
      <c r="T232" s="206"/>
      <c r="U232" s="206"/>
      <c r="V232" s="206"/>
    </row>
    <row r="233" ht="15.75" customHeight="1">
      <c r="E233" s="72"/>
      <c r="F233" s="72"/>
      <c r="G233" s="226"/>
      <c r="H233" s="226" t="s">
        <v>191</v>
      </c>
      <c r="I233" s="220">
        <v>0.8</v>
      </c>
      <c r="J233" s="221"/>
      <c r="K233" s="227"/>
      <c r="L233" s="227"/>
      <c r="M233" s="223" t="s">
        <v>192</v>
      </c>
      <c r="N233" s="72"/>
      <c r="O233" s="72"/>
      <c r="P233" s="72"/>
      <c r="T233" s="206"/>
      <c r="U233" s="206"/>
      <c r="V233" s="206"/>
    </row>
    <row r="234" ht="15.75" customHeight="1">
      <c r="B234" s="33"/>
      <c r="C234" s="199"/>
      <c r="D234" s="199"/>
      <c r="E234" s="207"/>
      <c r="F234" s="207"/>
      <c r="G234" s="208"/>
      <c r="H234" s="208" t="s">
        <v>193</v>
      </c>
      <c r="I234" s="225">
        <f>I232*I233</f>
        <v>392.5467664</v>
      </c>
      <c r="J234" s="218" t="s">
        <v>183</v>
      </c>
      <c r="K234" s="223"/>
      <c r="L234" s="223"/>
      <c r="M234" s="224"/>
      <c r="N234" s="224"/>
      <c r="O234" s="223"/>
      <c r="P234" s="223"/>
      <c r="Q234" s="33"/>
      <c r="R234" s="199"/>
      <c r="T234" s="206"/>
      <c r="U234" s="206"/>
      <c r="V234" s="206"/>
    </row>
    <row r="235" ht="15.75" customHeight="1">
      <c r="B235" s="33"/>
      <c r="C235" s="199"/>
      <c r="D235" s="199"/>
      <c r="E235" s="207"/>
      <c r="F235" s="207"/>
      <c r="G235" s="208"/>
      <c r="H235" s="208" t="s">
        <v>194</v>
      </c>
      <c r="I235" s="228">
        <v>1.5</v>
      </c>
      <c r="J235" s="210" t="s">
        <v>195</v>
      </c>
      <c r="K235" s="207"/>
      <c r="L235" s="207"/>
      <c r="M235" s="207"/>
      <c r="N235" s="207"/>
      <c r="O235" s="207"/>
      <c r="P235" s="207"/>
      <c r="Q235" s="199"/>
      <c r="R235" s="199"/>
      <c r="T235" s="206"/>
      <c r="U235" s="206"/>
      <c r="V235" s="206"/>
    </row>
    <row r="236" ht="15.75" customHeight="1">
      <c r="B236" s="33"/>
      <c r="C236" s="199"/>
      <c r="D236" s="199"/>
      <c r="E236" s="207"/>
      <c r="F236" s="207"/>
      <c r="G236" s="208"/>
      <c r="H236" s="208" t="s">
        <v>196</v>
      </c>
      <c r="I236" s="209">
        <v>3.0</v>
      </c>
      <c r="J236" s="210"/>
      <c r="K236" s="207"/>
      <c r="L236" s="207"/>
      <c r="M236" s="207"/>
      <c r="N236" s="207"/>
      <c r="O236" s="207"/>
      <c r="P236" s="207"/>
      <c r="Q236" s="199"/>
      <c r="R236" s="199"/>
      <c r="T236" s="206"/>
      <c r="U236" s="206"/>
      <c r="V236" s="206"/>
    </row>
    <row r="237" ht="15.75" customHeight="1">
      <c r="C237" s="199"/>
      <c r="D237" s="199"/>
      <c r="E237" s="207"/>
      <c r="F237" s="207"/>
      <c r="G237" s="213"/>
      <c r="H237" s="213"/>
      <c r="I237" s="209"/>
      <c r="J237" s="210"/>
      <c r="K237" s="207"/>
      <c r="L237" s="207"/>
      <c r="M237" s="207"/>
      <c r="N237" s="207"/>
      <c r="O237" s="207"/>
      <c r="P237" s="72"/>
      <c r="T237" s="206"/>
      <c r="U237" s="206"/>
      <c r="V237" s="206"/>
    </row>
    <row r="238" ht="15.75" customHeight="1">
      <c r="B238" s="229" t="s">
        <v>197</v>
      </c>
      <c r="C238" s="199"/>
      <c r="D238" s="230"/>
      <c r="E238" s="231"/>
      <c r="F238" s="231"/>
      <c r="G238" s="231"/>
      <c r="H238" s="231" t="s">
        <v>198</v>
      </c>
      <c r="I238" s="232">
        <f>$D$180*I230*I225*$R$186</f>
        <v>1153.719725</v>
      </c>
      <c r="J238" s="233" t="s">
        <v>199</v>
      </c>
      <c r="K238" s="234" t="s">
        <v>200</v>
      </c>
      <c r="L238" s="72"/>
      <c r="M238" s="207"/>
      <c r="N238" s="207"/>
      <c r="O238" s="207"/>
      <c r="P238" s="72"/>
      <c r="T238" s="206"/>
      <c r="U238" s="206"/>
      <c r="V238" s="206"/>
    </row>
    <row r="239" ht="15.75" customHeight="1">
      <c r="B239" s="32"/>
      <c r="C239" s="199"/>
      <c r="D239" s="230"/>
      <c r="E239" s="231"/>
      <c r="F239" s="231"/>
      <c r="G239" s="231"/>
      <c r="H239" s="231" t="s">
        <v>201</v>
      </c>
      <c r="I239" s="232">
        <f>I238*I224*I226/I236</f>
        <v>236.7617472</v>
      </c>
      <c r="J239" s="233" t="s">
        <v>199</v>
      </c>
      <c r="K239" s="234" t="s">
        <v>233</v>
      </c>
      <c r="L239" s="72"/>
      <c r="M239" s="207"/>
      <c r="N239" s="207"/>
      <c r="O239" s="207"/>
      <c r="P239" s="72"/>
      <c r="T239" s="206"/>
      <c r="U239" s="206"/>
      <c r="V239" s="206"/>
    </row>
    <row r="240" ht="15.75" customHeight="1">
      <c r="B240" s="33"/>
      <c r="C240" s="199"/>
      <c r="D240" s="235"/>
      <c r="E240" s="236"/>
      <c r="F240" s="236"/>
      <c r="G240" s="231"/>
      <c r="H240" s="231" t="s">
        <v>203</v>
      </c>
      <c r="I240" s="232">
        <f>I234*I227*I228/I235</f>
        <v>348.8432264</v>
      </c>
      <c r="J240" s="233" t="s">
        <v>183</v>
      </c>
      <c r="K240" s="234" t="s">
        <v>204</v>
      </c>
      <c r="L240" s="72"/>
      <c r="M240" s="207"/>
      <c r="N240" s="207"/>
      <c r="O240" s="207"/>
      <c r="P240" s="72"/>
      <c r="T240" s="206"/>
      <c r="U240" s="206"/>
      <c r="V240" s="206"/>
    </row>
    <row r="241" ht="15.75" customHeight="1">
      <c r="B241" s="33"/>
      <c r="C241" s="199"/>
      <c r="D241" s="235"/>
      <c r="E241" s="236"/>
      <c r="F241" s="236"/>
      <c r="G241" s="231"/>
      <c r="H241" s="231" t="s">
        <v>205</v>
      </c>
      <c r="I241" s="214">
        <f>I239/I240</f>
        <v>0.6787053015</v>
      </c>
      <c r="J241" s="233" t="s">
        <v>87</v>
      </c>
      <c r="K241" s="234" t="s">
        <v>206</v>
      </c>
      <c r="L241" s="72"/>
      <c r="M241" s="207"/>
      <c r="N241" s="207"/>
      <c r="O241" s="207"/>
      <c r="P241" s="72"/>
      <c r="T241" s="206"/>
      <c r="U241" s="206"/>
      <c r="V241" s="206"/>
    </row>
    <row r="242" ht="15.75" customHeight="1">
      <c r="B242" s="33"/>
      <c r="C242" s="199"/>
      <c r="D242" s="230"/>
      <c r="E242" s="231"/>
      <c r="F242" s="231"/>
      <c r="G242" s="231"/>
      <c r="H242" s="231" t="s">
        <v>207</v>
      </c>
      <c r="I242" s="214">
        <f>I241/$I$229</f>
        <v>1.549555483</v>
      </c>
      <c r="J242" s="233" t="s">
        <v>87</v>
      </c>
      <c r="K242" s="234" t="s">
        <v>208</v>
      </c>
      <c r="L242" s="72"/>
      <c r="M242" s="207"/>
      <c r="N242" s="207"/>
      <c r="O242" s="207"/>
      <c r="P242" s="72"/>
      <c r="T242" s="206"/>
      <c r="U242" s="206"/>
      <c r="V242" s="206"/>
    </row>
    <row r="243" ht="15.75" customHeight="1">
      <c r="B243" s="33"/>
      <c r="C243" s="199"/>
      <c r="D243" s="235"/>
      <c r="E243" s="236"/>
      <c r="F243" s="236"/>
      <c r="G243" s="231"/>
      <c r="H243" s="231" t="s">
        <v>209</v>
      </c>
      <c r="I243" s="237">
        <f>I242/$P$7</f>
        <v>0.02868484789</v>
      </c>
      <c r="J243" s="238"/>
      <c r="K243" s="234" t="s">
        <v>210</v>
      </c>
      <c r="L243" s="72"/>
      <c r="M243" s="207"/>
      <c r="N243" s="207"/>
      <c r="O243" s="207"/>
      <c r="P243" s="207"/>
      <c r="Q243" s="199"/>
      <c r="R243" s="199"/>
      <c r="T243" s="206"/>
      <c r="U243" s="206"/>
      <c r="V243" s="206"/>
    </row>
    <row r="244" ht="15.75" customHeight="1">
      <c r="B244" s="33"/>
      <c r="C244" s="199"/>
      <c r="D244" s="199"/>
      <c r="E244" s="207"/>
      <c r="F244" s="207"/>
      <c r="G244" s="208"/>
      <c r="H244" s="208" t="s">
        <v>211</v>
      </c>
      <c r="I244" s="239">
        <f>I230*$D$9*I225*I224*I226*I235/(I236*I233*I232*I227*I228*I229)</f>
        <v>0.02868484789</v>
      </c>
      <c r="J244" s="240" t="s">
        <v>212</v>
      </c>
      <c r="K244" s="241" t="s">
        <v>213</v>
      </c>
      <c r="L244" s="72"/>
      <c r="M244" s="207"/>
      <c r="N244" s="207"/>
      <c r="O244" s="207"/>
      <c r="P244" s="242"/>
      <c r="Q244" s="199"/>
      <c r="R244" s="199"/>
      <c r="T244" s="206"/>
      <c r="U244" s="206"/>
      <c r="V244" s="206"/>
    </row>
    <row r="245" ht="15.75" customHeight="1">
      <c r="B245" s="33"/>
      <c r="C245" s="199"/>
      <c r="D245" s="199"/>
      <c r="E245" s="207"/>
      <c r="F245" s="207"/>
      <c r="G245" s="213"/>
      <c r="H245" s="208" t="s">
        <v>214</v>
      </c>
      <c r="I245" s="239">
        <f>MAX(0.01,0.0075*I224)*(1.33/$I$227)</f>
        <v>0.0104703826</v>
      </c>
      <c r="J245" s="210" t="s">
        <v>215</v>
      </c>
      <c r="K245" s="207"/>
      <c r="L245" s="207"/>
      <c r="M245" s="207"/>
      <c r="N245" s="72"/>
      <c r="O245" s="72"/>
      <c r="P245" s="72"/>
      <c r="T245" s="206"/>
      <c r="U245" s="206"/>
      <c r="V245" s="206"/>
    </row>
    <row r="246" ht="15.75" customHeight="1">
      <c r="B246" s="199"/>
      <c r="C246" s="199"/>
      <c r="D246" s="199"/>
      <c r="E246" s="207"/>
      <c r="F246" s="207"/>
      <c r="G246" s="213"/>
      <c r="H246" s="208" t="s">
        <v>216</v>
      </c>
      <c r="I246" s="239">
        <f>max(I245,I244)</f>
        <v>0.02868484789</v>
      </c>
      <c r="J246" s="210" t="s">
        <v>217</v>
      </c>
      <c r="K246" s="207"/>
      <c r="L246" s="207"/>
      <c r="M246" s="207"/>
      <c r="N246" s="207"/>
      <c r="O246" s="211"/>
      <c r="P246" s="207"/>
      <c r="T246" s="206"/>
      <c r="U246" s="206"/>
      <c r="V246" s="206"/>
    </row>
    <row r="247" ht="15.75" customHeight="1">
      <c r="B247" s="33"/>
      <c r="C247" s="58"/>
      <c r="D247" s="47"/>
      <c r="E247" s="224"/>
      <c r="F247" s="224"/>
      <c r="G247" s="72"/>
      <c r="H247" s="72"/>
      <c r="I247" s="224"/>
      <c r="J247" s="224"/>
      <c r="K247" s="207"/>
      <c r="L247" s="207"/>
      <c r="M247" s="207"/>
      <c r="N247" s="207"/>
      <c r="O247" s="207"/>
      <c r="P247" s="207"/>
      <c r="U247" s="243"/>
    </row>
    <row r="248" ht="15.75" customHeight="1">
      <c r="B248" s="244" t="s">
        <v>218</v>
      </c>
      <c r="D248" s="245"/>
      <c r="E248" s="246"/>
      <c r="F248" s="224"/>
      <c r="G248" s="231"/>
      <c r="H248" s="231" t="s">
        <v>219</v>
      </c>
      <c r="I248" s="209">
        <f>IF(ISERROR(I246/L210),"",I246/L210)</f>
        <v>0.8070601473</v>
      </c>
      <c r="J248" s="247" t="str">
        <f t="shared" ref="J248:J249" si="36">IF(I248="","",IF(I248&lt;=1,"OK","NG"))</f>
        <v>OK</v>
      </c>
      <c r="K248" s="211" t="s">
        <v>220</v>
      </c>
      <c r="L248" s="72"/>
      <c r="M248" s="207"/>
      <c r="N248" s="207"/>
      <c r="O248" s="207"/>
      <c r="P248" s="207"/>
      <c r="T248" s="248"/>
      <c r="U248" s="205"/>
    </row>
    <row r="249" ht="15.75" customHeight="1">
      <c r="B249" s="244" t="s">
        <v>221</v>
      </c>
      <c r="C249" s="249"/>
      <c r="D249" s="246"/>
      <c r="E249" s="246"/>
      <c r="F249" s="224"/>
      <c r="G249" s="231"/>
      <c r="H249" s="231" t="s">
        <v>219</v>
      </c>
      <c r="I249" s="209">
        <f>max(T209)</f>
        <v>0.8070601473</v>
      </c>
      <c r="J249" s="247" t="str">
        <f t="shared" si="36"/>
        <v>OK</v>
      </c>
      <c r="K249" s="211" t="s">
        <v>222</v>
      </c>
      <c r="L249" s="72"/>
      <c r="M249" s="207"/>
      <c r="N249" s="207"/>
      <c r="O249" s="207"/>
      <c r="P249" s="72"/>
      <c r="T249" s="248"/>
      <c r="U249" s="205"/>
      <c r="V249" s="205"/>
    </row>
    <row r="250" ht="15.75" customHeight="1">
      <c r="B250" s="244" t="s">
        <v>223</v>
      </c>
      <c r="C250" s="249"/>
      <c r="D250" s="249"/>
      <c r="E250" s="250"/>
      <c r="F250" s="72"/>
      <c r="G250" s="226"/>
      <c r="H250" s="226"/>
      <c r="J250" s="251" t="str">
        <f>U209</f>
        <v>OK</v>
      </c>
      <c r="K250" s="252" t="s">
        <v>224</v>
      </c>
      <c r="L250" s="72"/>
      <c r="M250" s="72"/>
      <c r="N250" s="72"/>
      <c r="O250" s="72"/>
      <c r="P250" s="72"/>
      <c r="V250" s="206"/>
    </row>
    <row r="251" ht="15.75" customHeight="1">
      <c r="V251" s="206"/>
    </row>
    <row r="252" ht="15.75" customHeight="1">
      <c r="V252" s="206"/>
    </row>
    <row r="253" ht="15.75" customHeight="1"/>
    <row r="254" ht="15.75" customHeight="1">
      <c r="A254" s="43"/>
      <c r="B254" s="43"/>
      <c r="C254" s="44"/>
      <c r="D254" s="43"/>
      <c r="E254" s="43"/>
      <c r="F254" s="43"/>
      <c r="G254" s="43"/>
      <c r="H254" s="43"/>
      <c r="I254" s="43"/>
      <c r="J254" s="43"/>
      <c r="K254" s="43"/>
      <c r="L254" s="43"/>
      <c r="M254" s="43"/>
      <c r="N254" s="43"/>
      <c r="O254" s="45"/>
      <c r="P254" s="43"/>
      <c r="Q254" s="43"/>
      <c r="R254" s="46"/>
      <c r="S254" s="47"/>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sheetData>
  <mergeCells count="18">
    <mergeCell ref="K7:L7"/>
    <mergeCell ref="J8:K8"/>
    <mergeCell ref="J9:K9"/>
    <mergeCell ref="J10:K10"/>
    <mergeCell ref="J11:K11"/>
    <mergeCell ref="R16:S16"/>
    <mergeCell ref="K93:L93"/>
    <mergeCell ref="J180:K180"/>
    <mergeCell ref="J181:K181"/>
    <mergeCell ref="J182:K182"/>
    <mergeCell ref="R187:S187"/>
    <mergeCell ref="J94:K94"/>
    <mergeCell ref="J95:K95"/>
    <mergeCell ref="J96:K96"/>
    <mergeCell ref="J97:K97"/>
    <mergeCell ref="R102:S102"/>
    <mergeCell ref="K178:L178"/>
    <mergeCell ref="J179:K179"/>
  </mergeCells>
  <conditionalFormatting sqref="A1:S165 T6:V85 T92:V165 A172:S252 T177:V252 A254:S254">
    <cfRule type="expression" dxfId="0" priority="1" stopIfTrue="1">
      <formula>NOT(#REF!)</formula>
    </cfRule>
  </conditionalFormatting>
  <conditionalFormatting sqref="A1:S165 T6:V85 T92:V165 A172:S252 T177:V252 A254:S254">
    <cfRule type="expression" dxfId="1" priority="2">
      <formula>CELL("protect", INDIRECT(ADDRESS(ROW(),COLUMN())))=1</formula>
    </cfRule>
  </conditionalFormatting>
  <dataValidations>
    <dataValidation type="list" allowBlank="1" showErrorMessage="1" sqref="L94">
      <formula1>"0.2,0.15"</formula1>
    </dataValidation>
    <dataValidation type="list" allowBlank="1" showErrorMessage="1" sqref="M30 M36 M116 M122 M201 M207">
      <formula1>"Exterieur,Interieur"</formula1>
    </dataValidation>
  </dataValidations>
  <printOptions/>
  <pageMargins bottom="1.0" footer="0.0" header="0.0" left="0.5" right="0.5" top="1.0"/>
  <pageSetup fitToHeight="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86"/>
    <col customWidth="1" min="2" max="2" width="12.43"/>
    <col customWidth="1" min="3" max="3" width="10.29"/>
    <col customWidth="1" min="4" max="4" width="9.29"/>
    <col customWidth="1" min="5" max="5" width="13.29"/>
    <col customWidth="1" min="6" max="6" width="9.57"/>
    <col customWidth="1" min="7" max="7" width="13.43"/>
    <col customWidth="1" min="8" max="8" width="11.29"/>
    <col customWidth="1" min="9" max="9" width="12.43"/>
    <col customWidth="1" min="10" max="10" width="10.71"/>
    <col customWidth="1" min="11" max="11" width="11.71"/>
    <col customWidth="1" min="12" max="12" width="16.71"/>
    <col customWidth="1" min="13" max="13" width="10.29"/>
    <col customWidth="1" min="14" max="14" width="10.57"/>
    <col customWidth="1" min="15" max="15" width="11.57"/>
    <col customWidth="1" min="16" max="16" width="12.43"/>
    <col customWidth="1" min="17" max="17" width="12.86"/>
    <col customWidth="1" min="18" max="18" width="13.57"/>
    <col customWidth="1" min="19" max="19" width="13.14"/>
    <col customWidth="1" min="20" max="20" width="10.0"/>
    <col customWidth="1" min="21" max="21" width="11.0"/>
    <col customWidth="1" min="22" max="22" width="9.43"/>
    <col customWidth="1" min="23" max="23" width="7.43"/>
    <col customWidth="1" min="24" max="24" width="6.29"/>
    <col customWidth="1" hidden="1" min="25" max="25" width="4.29"/>
    <col hidden="1" min="26" max="40" width="14.43"/>
  </cols>
  <sheetData>
    <row r="1">
      <c r="A1" s="47"/>
      <c r="B1" s="224"/>
      <c r="C1" s="246"/>
      <c r="D1" s="224"/>
      <c r="E1" s="224"/>
      <c r="F1" s="224"/>
      <c r="G1" s="224"/>
      <c r="H1" s="224"/>
      <c r="I1" s="224"/>
      <c r="J1" s="224"/>
      <c r="K1" s="224"/>
      <c r="L1" s="224"/>
      <c r="M1" s="224"/>
      <c r="N1" s="224"/>
      <c r="O1" s="288"/>
      <c r="P1" s="224"/>
      <c r="Q1" s="224"/>
      <c r="R1" s="47"/>
      <c r="AF1" s="129"/>
      <c r="AG1" s="129"/>
      <c r="AH1" s="129"/>
    </row>
    <row r="2">
      <c r="A2" s="47"/>
      <c r="B2" s="49" t="s">
        <v>75</v>
      </c>
      <c r="C2" s="50"/>
      <c r="D2" s="51"/>
      <c r="E2" s="51"/>
      <c r="F2" s="51"/>
      <c r="G2" s="51"/>
      <c r="H2" s="51"/>
      <c r="I2" s="51"/>
      <c r="J2" s="51"/>
      <c r="K2" s="51"/>
      <c r="L2" s="51"/>
      <c r="M2" s="51"/>
      <c r="N2" s="52" t="s">
        <v>76</v>
      </c>
      <c r="O2" s="52"/>
      <c r="P2" s="51"/>
      <c r="Q2" s="51"/>
      <c r="R2" s="51"/>
      <c r="S2" s="68"/>
      <c r="T2" s="68"/>
      <c r="U2" s="68"/>
      <c r="V2" s="68"/>
      <c r="W2" s="68"/>
      <c r="X2" s="68"/>
      <c r="AF2" s="129"/>
      <c r="AG2" s="129"/>
      <c r="AH2" s="129"/>
    </row>
    <row r="3">
      <c r="A3" s="47"/>
      <c r="B3" s="49" t="s">
        <v>77</v>
      </c>
      <c r="C3" s="55" t="s">
        <v>78</v>
      </c>
      <c r="D3" s="56"/>
      <c r="E3" s="51"/>
      <c r="F3" s="51"/>
      <c r="G3" s="51"/>
      <c r="H3" s="51"/>
      <c r="I3" s="51"/>
      <c r="J3" s="51"/>
      <c r="K3" s="51"/>
      <c r="L3" s="51"/>
      <c r="M3" s="51"/>
      <c r="N3" s="57" t="s">
        <v>79</v>
      </c>
      <c r="O3" s="57"/>
      <c r="P3" s="51"/>
      <c r="Q3" s="51"/>
      <c r="R3" s="51"/>
      <c r="S3" s="68"/>
      <c r="T3" s="68"/>
      <c r="U3" s="68"/>
      <c r="V3" s="68"/>
      <c r="W3" s="68"/>
      <c r="X3" s="68"/>
    </row>
    <row r="4" ht="15.75" customHeight="1">
      <c r="A4" s="47"/>
      <c r="B4" s="51"/>
      <c r="C4" s="52"/>
      <c r="D4" s="56"/>
      <c r="E4" s="51"/>
      <c r="F4" s="51"/>
      <c r="G4" s="51"/>
      <c r="H4" s="51"/>
      <c r="I4" s="51"/>
      <c r="J4" s="51"/>
      <c r="K4" s="51"/>
      <c r="L4" s="51"/>
      <c r="M4" s="51"/>
      <c r="N4" s="57" t="s">
        <v>80</v>
      </c>
      <c r="O4" s="57"/>
      <c r="P4" s="51"/>
      <c r="Q4" s="51"/>
      <c r="R4" s="51"/>
      <c r="S4" s="68"/>
      <c r="T4" s="68"/>
      <c r="U4" s="68"/>
      <c r="V4" s="68"/>
      <c r="W4" s="68"/>
      <c r="X4" s="68"/>
    </row>
    <row r="5" ht="16.5" customHeight="1">
      <c r="A5" s="33"/>
      <c r="B5" s="43"/>
      <c r="C5" s="45"/>
      <c r="D5" s="43"/>
      <c r="E5" s="43"/>
      <c r="F5" s="43"/>
      <c r="G5" s="43"/>
      <c r="H5" s="43"/>
      <c r="I5" s="43"/>
      <c r="J5" s="43"/>
      <c r="K5" s="43"/>
      <c r="L5" s="43"/>
      <c r="M5" s="43"/>
      <c r="N5" s="43"/>
      <c r="O5" s="43"/>
      <c r="P5" s="43"/>
      <c r="Q5" s="43"/>
      <c r="R5" s="43"/>
      <c r="S5" s="68"/>
      <c r="T5" s="68"/>
      <c r="U5" s="68"/>
      <c r="V5" s="68"/>
      <c r="W5" s="68"/>
      <c r="X5" s="68"/>
    </row>
    <row r="6">
      <c r="B6" s="68"/>
      <c r="C6" s="68"/>
      <c r="D6" s="68"/>
      <c r="E6" s="68"/>
      <c r="F6" s="68"/>
      <c r="G6" s="68"/>
      <c r="H6" s="68"/>
      <c r="I6" s="68"/>
      <c r="J6" s="68"/>
      <c r="K6" s="289"/>
      <c r="L6" s="184"/>
      <c r="M6" s="290"/>
      <c r="N6" s="184"/>
      <c r="O6" s="68"/>
      <c r="P6" s="68"/>
      <c r="Q6" s="68"/>
      <c r="R6" s="68"/>
      <c r="S6" s="68"/>
      <c r="T6" s="68"/>
      <c r="U6" s="68"/>
      <c r="V6" s="68"/>
      <c r="W6" s="68"/>
      <c r="X6" s="68"/>
    </row>
    <row r="7" ht="15.75" customHeight="1">
      <c r="A7" s="67"/>
      <c r="B7" s="43"/>
      <c r="C7" s="70" t="s">
        <v>86</v>
      </c>
      <c r="D7" s="276">
        <f>'WAP for Y-AXIS Walls'!P7</f>
        <v>54.02</v>
      </c>
      <c r="E7" s="71" t="s">
        <v>87</v>
      </c>
      <c r="F7" s="71" t="s">
        <v>258</v>
      </c>
      <c r="G7" s="68"/>
      <c r="I7" s="68"/>
      <c r="J7" s="68"/>
      <c r="K7" s="291"/>
      <c r="L7" s="292"/>
      <c r="M7" s="290"/>
      <c r="N7" s="293"/>
      <c r="O7" s="68"/>
      <c r="P7" s="68"/>
      <c r="Q7" s="68"/>
      <c r="R7" s="68"/>
      <c r="S7" s="68"/>
      <c r="T7" s="68"/>
      <c r="U7" s="68"/>
      <c r="V7" s="68"/>
      <c r="W7" s="68"/>
      <c r="X7" s="68"/>
    </row>
    <row r="8" ht="17.25" customHeight="1">
      <c r="A8" s="189"/>
      <c r="B8" s="43"/>
      <c r="C8" s="77" t="s">
        <v>259</v>
      </c>
      <c r="D8" s="276">
        <f>'WAP for Y-AXIS Walls'!P8</f>
        <v>14.6</v>
      </c>
      <c r="E8" s="71" t="s">
        <v>84</v>
      </c>
      <c r="F8" s="71" t="s">
        <v>260</v>
      </c>
      <c r="G8" s="68"/>
      <c r="I8" s="68"/>
      <c r="J8" s="68"/>
      <c r="K8" s="294"/>
      <c r="L8" s="187"/>
      <c r="M8" s="295"/>
      <c r="N8" s="185"/>
      <c r="O8" s="68"/>
      <c r="P8" s="68"/>
      <c r="Q8" s="68"/>
      <c r="R8" s="68"/>
      <c r="S8" s="68"/>
      <c r="T8" s="68"/>
      <c r="U8" s="68"/>
      <c r="V8" s="68"/>
      <c r="W8" s="68"/>
      <c r="X8" s="68"/>
    </row>
    <row r="9">
      <c r="A9" s="189"/>
      <c r="B9" s="43"/>
      <c r="C9" s="77" t="s">
        <v>261</v>
      </c>
      <c r="D9" s="276">
        <f>'WAP for Y-AXIS Walls'!P9</f>
        <v>3.7</v>
      </c>
      <c r="E9" s="71" t="s">
        <v>87</v>
      </c>
      <c r="F9" s="71" t="s">
        <v>262</v>
      </c>
      <c r="G9" s="68"/>
      <c r="I9" s="68"/>
      <c r="J9" s="68"/>
      <c r="K9" s="294"/>
      <c r="L9" s="187"/>
      <c r="M9" s="153"/>
      <c r="N9" s="185"/>
      <c r="O9" s="68"/>
      <c r="P9" s="68"/>
      <c r="Q9" s="68"/>
      <c r="R9" s="68"/>
      <c r="S9" s="68"/>
      <c r="T9" s="68"/>
      <c r="U9" s="68"/>
      <c r="V9" s="68"/>
      <c r="W9" s="68"/>
      <c r="X9" s="68"/>
    </row>
    <row r="10" ht="28.5" customHeight="1">
      <c r="B10" s="68"/>
      <c r="C10" s="68"/>
      <c r="D10" s="68"/>
      <c r="E10" s="68"/>
      <c r="F10" s="68"/>
      <c r="G10" s="68"/>
      <c r="H10" s="68"/>
      <c r="I10" s="68"/>
      <c r="J10" s="68"/>
      <c r="K10" s="184"/>
      <c r="L10" s="98" t="s">
        <v>111</v>
      </c>
      <c r="M10" s="296"/>
      <c r="N10" s="296"/>
      <c r="O10" s="68"/>
      <c r="P10" s="68"/>
      <c r="Q10" s="68"/>
      <c r="R10" s="68"/>
      <c r="S10" s="68"/>
      <c r="T10" s="68"/>
      <c r="U10" s="68"/>
      <c r="V10" s="68"/>
      <c r="W10" s="68"/>
      <c r="X10" s="68"/>
    </row>
    <row r="11">
      <c r="B11" s="68"/>
      <c r="C11" s="68"/>
      <c r="D11" s="68"/>
      <c r="E11" s="68"/>
      <c r="F11" s="68"/>
      <c r="G11" s="68"/>
      <c r="H11" s="68"/>
      <c r="I11" s="68"/>
      <c r="J11" s="68"/>
      <c r="K11" s="68"/>
      <c r="O11" s="71"/>
      <c r="P11" s="68"/>
      <c r="Q11" s="68"/>
      <c r="R11" s="68"/>
      <c r="S11" s="68"/>
      <c r="T11" s="68"/>
      <c r="U11" s="68"/>
      <c r="V11" s="68"/>
      <c r="W11" s="68"/>
      <c r="X11" s="68"/>
    </row>
    <row r="12" ht="18.0" customHeight="1">
      <c r="B12" s="68"/>
      <c r="C12" s="68"/>
      <c r="D12" s="68"/>
      <c r="E12" s="68"/>
      <c r="F12" s="68"/>
      <c r="G12" s="68"/>
      <c r="H12" s="68"/>
      <c r="I12" s="68"/>
      <c r="J12" s="68"/>
      <c r="K12" s="291"/>
      <c r="L12" s="297"/>
      <c r="M12" s="298"/>
      <c r="N12" s="293"/>
      <c r="O12" s="293"/>
      <c r="P12" s="68"/>
      <c r="Q12" s="68"/>
      <c r="R12" s="68"/>
      <c r="S12" s="68"/>
      <c r="T12" s="68"/>
      <c r="U12" s="68"/>
      <c r="V12" s="68"/>
      <c r="Z12" s="68"/>
      <c r="AB12" s="90" t="s">
        <v>263</v>
      </c>
      <c r="AC12" s="26">
        <v>0.5</v>
      </c>
    </row>
    <row r="13">
      <c r="B13" s="68"/>
      <c r="C13" s="68"/>
      <c r="D13" s="68"/>
      <c r="E13" s="68"/>
      <c r="F13" s="68"/>
      <c r="G13" s="68"/>
      <c r="H13" s="68"/>
      <c r="I13" s="68"/>
      <c r="J13" s="68"/>
      <c r="K13" s="291"/>
      <c r="L13" s="291"/>
      <c r="M13" s="293"/>
      <c r="N13" s="293"/>
      <c r="O13" s="71"/>
      <c r="P13" s="68"/>
      <c r="Q13" s="68"/>
      <c r="R13" s="68"/>
      <c r="S13" s="68"/>
      <c r="T13" s="68"/>
      <c r="U13" s="68"/>
      <c r="V13" s="68"/>
      <c r="Z13" s="68"/>
      <c r="AB13" s="90" t="s">
        <v>264</v>
      </c>
      <c r="AC13" s="26">
        <v>0.6</v>
      </c>
    </row>
    <row r="14" ht="17.25" customHeight="1">
      <c r="B14" s="68"/>
      <c r="C14" s="68"/>
      <c r="D14" s="68"/>
      <c r="E14" s="68"/>
      <c r="F14" s="68"/>
      <c r="G14" s="68"/>
      <c r="H14" s="68"/>
      <c r="I14" s="68"/>
      <c r="J14" s="68"/>
      <c r="K14" s="68"/>
      <c r="L14" s="68"/>
      <c r="M14" s="68"/>
      <c r="N14" s="68"/>
      <c r="O14" s="68"/>
      <c r="P14" s="68"/>
      <c r="Q14" s="68"/>
      <c r="R14" s="68"/>
      <c r="S14" s="68"/>
      <c r="T14" s="68"/>
      <c r="U14" s="68"/>
      <c r="V14" s="68"/>
      <c r="Z14" s="68"/>
      <c r="AB14" s="90" t="s">
        <v>265</v>
      </c>
      <c r="AC14" s="26">
        <v>0.25</v>
      </c>
    </row>
    <row r="15" ht="30.75" customHeight="1">
      <c r="B15" s="299" t="s">
        <v>266</v>
      </c>
      <c r="C15" s="300"/>
      <c r="D15" s="301" t="s">
        <v>267</v>
      </c>
      <c r="E15" s="100" t="s">
        <v>120</v>
      </c>
      <c r="F15" s="101" t="s">
        <v>121</v>
      </c>
      <c r="G15" s="302" t="s">
        <v>268</v>
      </c>
      <c r="H15" s="302" t="s">
        <v>269</v>
      </c>
      <c r="I15" s="101" t="s">
        <v>270</v>
      </c>
      <c r="J15" s="101" t="s">
        <v>271</v>
      </c>
      <c r="K15" s="101" t="s">
        <v>272</v>
      </c>
      <c r="L15" s="303" t="s">
        <v>273</v>
      </c>
      <c r="M15" s="304" t="s">
        <v>274</v>
      </c>
      <c r="N15" s="101" t="s">
        <v>275</v>
      </c>
      <c r="O15" s="303" t="s">
        <v>276</v>
      </c>
      <c r="P15" s="302" t="s">
        <v>277</v>
      </c>
      <c r="Q15" s="303" t="s">
        <v>278</v>
      </c>
      <c r="R15" s="101" t="s">
        <v>276</v>
      </c>
      <c r="S15" s="303"/>
      <c r="T15" s="303" t="s">
        <v>279</v>
      </c>
      <c r="U15" s="305" t="s">
        <v>280</v>
      </c>
      <c r="V15" s="68"/>
      <c r="Z15" s="293" t="s">
        <v>281</v>
      </c>
      <c r="AA15" s="71" t="s">
        <v>282</v>
      </c>
      <c r="AB15" s="26" t="s">
        <v>283</v>
      </c>
      <c r="AC15" s="26" t="s">
        <v>284</v>
      </c>
    </row>
    <row r="16" ht="15.75" customHeight="1">
      <c r="B16" s="113" t="s">
        <v>285</v>
      </c>
      <c r="C16" s="115" t="s">
        <v>286</v>
      </c>
      <c r="D16" s="115" t="s">
        <v>287</v>
      </c>
      <c r="E16" s="306" t="s">
        <v>288</v>
      </c>
      <c r="F16" s="115" t="s">
        <v>186</v>
      </c>
      <c r="G16" s="111" t="s">
        <v>289</v>
      </c>
      <c r="H16" s="111" t="s">
        <v>290</v>
      </c>
      <c r="I16" s="111" t="s">
        <v>291</v>
      </c>
      <c r="J16" s="111" t="s">
        <v>140</v>
      </c>
      <c r="K16" s="111" t="s">
        <v>292</v>
      </c>
      <c r="L16" s="115" t="s">
        <v>293</v>
      </c>
      <c r="M16" s="115" t="s">
        <v>294</v>
      </c>
      <c r="N16" s="111" t="s">
        <v>295</v>
      </c>
      <c r="O16" s="111" t="s">
        <v>296</v>
      </c>
      <c r="P16" s="111" t="s">
        <v>297</v>
      </c>
      <c r="Q16" s="111" t="s">
        <v>298</v>
      </c>
      <c r="R16" s="111" t="s">
        <v>299</v>
      </c>
      <c r="S16" s="115" t="s">
        <v>300</v>
      </c>
      <c r="T16" s="307" t="s">
        <v>301</v>
      </c>
      <c r="U16" s="112" t="s">
        <v>302</v>
      </c>
      <c r="V16" s="68"/>
      <c r="Z16" s="293" t="s">
        <v>303</v>
      </c>
      <c r="AA16" s="71" t="s">
        <v>304</v>
      </c>
      <c r="AB16" s="26" t="s">
        <v>305</v>
      </c>
      <c r="AC16" s="26" t="s">
        <v>306</v>
      </c>
    </row>
    <row r="17" ht="16.5" customHeight="1">
      <c r="B17" s="113" t="s">
        <v>307</v>
      </c>
      <c r="C17" s="115" t="s">
        <v>308</v>
      </c>
      <c r="D17" s="115" t="s">
        <v>309</v>
      </c>
      <c r="E17" s="306" t="s">
        <v>134</v>
      </c>
      <c r="G17" s="111" t="s">
        <v>310</v>
      </c>
      <c r="H17" s="115" t="s">
        <v>311</v>
      </c>
      <c r="I17" s="111" t="s">
        <v>135</v>
      </c>
      <c r="J17" s="111" t="s">
        <v>312</v>
      </c>
      <c r="K17" s="111" t="s">
        <v>313</v>
      </c>
      <c r="L17" s="115" t="s">
        <v>314</v>
      </c>
      <c r="M17" s="115" t="s">
        <v>84</v>
      </c>
      <c r="N17" s="110" t="s">
        <v>315</v>
      </c>
      <c r="O17" s="308" t="s">
        <v>316</v>
      </c>
      <c r="P17" s="111" t="s">
        <v>87</v>
      </c>
      <c r="Q17" s="308" t="s">
        <v>317</v>
      </c>
      <c r="R17" s="111" t="s">
        <v>318</v>
      </c>
      <c r="S17" s="110" t="s">
        <v>319</v>
      </c>
      <c r="T17" s="115" t="s">
        <v>134</v>
      </c>
      <c r="U17" s="309"/>
      <c r="V17" s="68"/>
      <c r="Z17" s="293" t="s">
        <v>320</v>
      </c>
      <c r="AA17" s="68"/>
      <c r="AC17" s="26" t="s">
        <v>321</v>
      </c>
    </row>
    <row r="18" ht="29.25" customHeight="1">
      <c r="B18" s="126"/>
      <c r="C18" s="121"/>
      <c r="D18" s="310"/>
      <c r="E18" s="126"/>
      <c r="F18" s="311"/>
      <c r="G18" s="125"/>
      <c r="H18" s="125" t="s">
        <v>322</v>
      </c>
      <c r="I18" s="125" t="s">
        <v>323</v>
      </c>
      <c r="J18" s="121" t="s">
        <v>134</v>
      </c>
      <c r="K18" s="121" t="s">
        <v>324</v>
      </c>
      <c r="L18" s="312" t="s">
        <v>325</v>
      </c>
      <c r="M18" s="313" t="s">
        <v>326</v>
      </c>
      <c r="N18" s="314" t="s">
        <v>327</v>
      </c>
      <c r="O18" s="315" t="s">
        <v>328</v>
      </c>
      <c r="P18" s="312" t="s">
        <v>329</v>
      </c>
      <c r="Q18" s="316" t="s">
        <v>330</v>
      </c>
      <c r="R18" s="314" t="s">
        <v>331</v>
      </c>
      <c r="S18" s="317"/>
      <c r="T18" s="317"/>
      <c r="U18" s="318" t="s">
        <v>332</v>
      </c>
      <c r="V18" s="71"/>
      <c r="Z18" s="293" t="s">
        <v>144</v>
      </c>
      <c r="AA18" s="71" t="s">
        <v>144</v>
      </c>
      <c r="AB18" s="26" t="s">
        <v>319</v>
      </c>
    </row>
    <row r="19" ht="20.25" customHeight="1">
      <c r="B19" s="319"/>
      <c r="C19" s="320"/>
      <c r="D19" s="321">
        <v>0.0</v>
      </c>
      <c r="E19" s="155">
        <f>'WAP for Y-AXIS Walls'!E25</f>
        <v>0.2</v>
      </c>
      <c r="F19" s="322">
        <f>'WAP for Y-AXIS Walls'!F25</f>
        <v>10</v>
      </c>
      <c r="G19" s="279">
        <v>2.9</v>
      </c>
      <c r="H19" s="323">
        <f t="shared" ref="H19:H20" si="1">0.5*((F19*145.038)*900)/145.038</f>
        <v>4500</v>
      </c>
      <c r="I19" s="323">
        <f t="shared" ref="I19:I20" si="2">H19*0.4</f>
        <v>1800</v>
      </c>
      <c r="J19" s="135">
        <f>'WAP for Y-AXIS Walls'!D25</f>
        <v>1.9</v>
      </c>
      <c r="K19" s="324">
        <f t="shared" ref="K19:K20" si="3">if(J19=0,0,G19/J19)</f>
        <v>1.526315789</v>
      </c>
      <c r="L19" s="325">
        <f>J19*'WAP for Y-AXIS Walls'!G25*E19</f>
        <v>0.2223</v>
      </c>
      <c r="M19" s="325">
        <f t="shared" ref="M19:M20" si="4">if(J19=0,0,L19/J19)</f>
        <v>0.117</v>
      </c>
      <c r="N19" s="326">
        <f t="shared" ref="N19:N20" si="5">M19*J19^3/12</f>
        <v>0.06687525</v>
      </c>
      <c r="O19" s="327">
        <f t="shared" ref="O19:O20" si="6">H19*1000*N19*3/G19^3</f>
        <v>37017.33876</v>
      </c>
      <c r="P19" s="136">
        <f t="shared" ref="P19:P20" si="7">5/6*L19</f>
        <v>0.18525</v>
      </c>
      <c r="Q19" s="327">
        <f t="shared" ref="Q19:Q20" si="8">I19*1000*P19/G19</f>
        <v>114982.7586</v>
      </c>
      <c r="R19" s="327">
        <f t="shared" ref="R19:R20" si="9">IF(OR(Q19=0,O19=0),0,(1/(1/O19+1/Q19)))</f>
        <v>28002.32237</v>
      </c>
      <c r="S19" s="327">
        <f t="shared" ref="S19:S20" si="10">D19*R19</f>
        <v>0</v>
      </c>
      <c r="T19" s="328">
        <f t="shared" ref="T19:T20" si="11">D19-$G$41</f>
        <v>-9.136599968</v>
      </c>
      <c r="U19" s="329">
        <f t="shared" ref="U19:U20" si="12">R19*T19^2</f>
        <v>2337562.717</v>
      </c>
      <c r="V19" s="330"/>
      <c r="Z19" s="331"/>
      <c r="AA19" s="332">
        <f>Z21*'WAP for Y-AXIS Walls'!L25/'WAP for Y-AXIS Walls'!N27</f>
        <v>0.1301369863</v>
      </c>
      <c r="AB19" s="333">
        <f>AA19*'WAP for Y-AXIS Walls'!$I$67</f>
        <v>150.1416081</v>
      </c>
      <c r="AC19" s="334">
        <f t="shared" ref="AC19:AC20" si="13">AB19*$AC$12*$AC$13*$AC$14</f>
        <v>11.26062061</v>
      </c>
    </row>
    <row r="20" ht="16.5" customHeight="1">
      <c r="B20" s="319"/>
      <c r="C20" s="320"/>
      <c r="D20" s="335">
        <v>0.0</v>
      </c>
      <c r="E20" s="155">
        <f>'WAP for Y-AXIS Walls'!E26</f>
        <v>0.2</v>
      </c>
      <c r="F20" s="322">
        <f>'WAP for Y-AXIS Walls'!F26</f>
        <v>10</v>
      </c>
      <c r="G20" s="279">
        <v>2.9</v>
      </c>
      <c r="H20" s="323">
        <f t="shared" si="1"/>
        <v>4500</v>
      </c>
      <c r="I20" s="323">
        <f t="shared" si="2"/>
        <v>1800</v>
      </c>
      <c r="J20" s="135">
        <f>'WAP for Y-AXIS Walls'!D26</f>
        <v>0</v>
      </c>
      <c r="K20" s="324">
        <f t="shared" si="3"/>
        <v>0</v>
      </c>
      <c r="L20" s="325">
        <f>J20*'WAP for Y-AXIS Walls'!G26*E20</f>
        <v>0</v>
      </c>
      <c r="M20" s="325">
        <f t="shared" si="4"/>
        <v>0</v>
      </c>
      <c r="N20" s="326">
        <f t="shared" si="5"/>
        <v>0</v>
      </c>
      <c r="O20" s="327">
        <f t="shared" si="6"/>
        <v>0</v>
      </c>
      <c r="P20" s="136">
        <f t="shared" si="7"/>
        <v>0</v>
      </c>
      <c r="Q20" s="327">
        <f t="shared" si="8"/>
        <v>0</v>
      </c>
      <c r="R20" s="327">
        <f t="shared" si="9"/>
        <v>0</v>
      </c>
      <c r="S20" s="327">
        <f t="shared" si="10"/>
        <v>0</v>
      </c>
      <c r="T20" s="328">
        <f t="shared" si="11"/>
        <v>-9.136599968</v>
      </c>
      <c r="U20" s="329">
        <f t="shared" si="12"/>
        <v>0</v>
      </c>
      <c r="V20" s="68"/>
      <c r="Z20" s="336"/>
      <c r="AA20" s="337">
        <f>Z21*'WAP for Y-AXIS Walls'!L26/'WAP for Y-AXIS Walls'!N27</f>
        <v>0</v>
      </c>
      <c r="AB20" s="333">
        <f>AA20*'WAP for Y-AXIS Walls'!$I$67</f>
        <v>0</v>
      </c>
      <c r="AC20" s="334">
        <f t="shared" si="13"/>
        <v>0</v>
      </c>
    </row>
    <row r="21" ht="17.25" customHeight="1">
      <c r="B21" s="338">
        <f>(3.6/2+'WAP for Y-AXIS Walls'!E25/2)/2-'WAP for Y-AXIS Walls'!E25/2</f>
        <v>0.85</v>
      </c>
      <c r="C21" s="320">
        <f>B21*'WAP for Y-AXIS Walls'!O27</f>
        <v>5.9755</v>
      </c>
      <c r="D21" s="321"/>
      <c r="E21" s="155" t="str">
        <f>'WAP for Y-AXIS Walls'!E27</f>
        <v/>
      </c>
      <c r="F21" s="322" t="str">
        <f>'WAP for Y-AXIS Walls'!F27</f>
        <v/>
      </c>
      <c r="G21" s="339"/>
      <c r="H21" s="323"/>
      <c r="I21" s="323"/>
      <c r="J21" s="135"/>
      <c r="K21" s="324"/>
      <c r="L21" s="325"/>
      <c r="M21" s="325"/>
      <c r="N21" s="326"/>
      <c r="O21" s="327"/>
      <c r="P21" s="136"/>
      <c r="Q21" s="327"/>
      <c r="R21" s="327"/>
      <c r="S21" s="327"/>
      <c r="T21" s="328"/>
      <c r="U21" s="329"/>
      <c r="V21" s="68"/>
      <c r="Z21" s="336">
        <f>'WAP for Y-AXIS Walls'!O27/'WAP for Y-AXIS Walls'!O38</f>
        <v>0.1301369863</v>
      </c>
      <c r="AA21" s="332"/>
    </row>
    <row r="22">
      <c r="B22" s="338"/>
      <c r="C22" s="320"/>
      <c r="D22" s="335">
        <v>3.6</v>
      </c>
      <c r="E22" s="155">
        <f>'WAP for Y-AXIS Walls'!E28</f>
        <v>0.2</v>
      </c>
      <c r="F22" s="322">
        <f>'WAP for Y-AXIS Walls'!F28</f>
        <v>10</v>
      </c>
      <c r="G22" s="279">
        <v>2.9</v>
      </c>
      <c r="H22" s="323">
        <f>0.5*((F22*145.038)*900)/145.038</f>
        <v>4500</v>
      </c>
      <c r="I22" s="323">
        <f>H22*0.4</f>
        <v>1800</v>
      </c>
      <c r="J22" s="135">
        <f>'WAP for Y-AXIS Walls'!D28</f>
        <v>2.4</v>
      </c>
      <c r="K22" s="324">
        <f>if(J22=0,0,G22/J22)</f>
        <v>1.208333333</v>
      </c>
      <c r="L22" s="325">
        <f>J22*'WAP for Y-AXIS Walls'!G28*E22</f>
        <v>0.19872</v>
      </c>
      <c r="M22" s="325">
        <f>if(J22=0,0,L22/J22)</f>
        <v>0.0828</v>
      </c>
      <c r="N22" s="326">
        <f>M22*J22^3/12</f>
        <v>0.0953856</v>
      </c>
      <c r="O22" s="327">
        <f>H22*1000*N22*3/G22^3</f>
        <v>52798.62233</v>
      </c>
      <c r="P22" s="136">
        <f>5/6*L22</f>
        <v>0.1656</v>
      </c>
      <c r="Q22" s="327">
        <f>I22*1000*P22/G22</f>
        <v>102786.2069</v>
      </c>
      <c r="R22" s="327">
        <f>IF(OR(Q22=0,O22=0),0,(1/(1/O22+1/Q22)))</f>
        <v>34881.10085</v>
      </c>
      <c r="S22" s="327">
        <f>D22*R22</f>
        <v>125571.9631</v>
      </c>
      <c r="T22" s="328">
        <f>D22-$G$41</f>
        <v>-5.536599968</v>
      </c>
      <c r="U22" s="329">
        <f>R22*T22^2</f>
        <v>1069243.145</v>
      </c>
      <c r="V22" s="68"/>
      <c r="Z22" s="331"/>
      <c r="AA22" s="332">
        <f>Z23</f>
        <v>0.2465753425</v>
      </c>
      <c r="AB22" s="333">
        <f>AA22*'WAP for Y-AXIS Walls'!$I$67</f>
        <v>284.4788364</v>
      </c>
      <c r="AC22" s="334">
        <f>AB22*$AC$12*$AC$13*$AC$14</f>
        <v>21.33591273</v>
      </c>
    </row>
    <row r="23">
      <c r="B23" s="340">
        <v>3.6</v>
      </c>
      <c r="C23" s="320">
        <f>B23*'WAP for Y-AXIS Walls'!O29</f>
        <v>47.952</v>
      </c>
      <c r="D23" s="321"/>
      <c r="E23" s="155" t="str">
        <f>'WAP for Y-AXIS Walls'!E29</f>
        <v/>
      </c>
      <c r="F23" s="322" t="str">
        <f>'WAP for Y-AXIS Walls'!F29</f>
        <v/>
      </c>
      <c r="G23" s="339"/>
      <c r="H23" s="323"/>
      <c r="I23" s="323"/>
      <c r="J23" s="135"/>
      <c r="K23" s="324"/>
      <c r="L23" s="325"/>
      <c r="M23" s="325"/>
      <c r="N23" s="326"/>
      <c r="O23" s="327"/>
      <c r="P23" s="328"/>
      <c r="Q23" s="327"/>
      <c r="R23" s="327"/>
      <c r="S23" s="327"/>
      <c r="T23" s="328"/>
      <c r="U23" s="329"/>
      <c r="V23" s="68"/>
      <c r="Z23" s="336">
        <f>'WAP for Y-AXIS Walls'!O29/'WAP for Y-AXIS Walls'!$O$38</f>
        <v>0.2465753425</v>
      </c>
      <c r="AA23" s="332"/>
    </row>
    <row r="24" ht="17.25" customHeight="1">
      <c r="B24" s="338"/>
      <c r="C24" s="320"/>
      <c r="D24" s="335">
        <v>7.2</v>
      </c>
      <c r="E24" s="155">
        <f>'WAP for Y-AXIS Walls'!E30</f>
        <v>0.2</v>
      </c>
      <c r="F24" s="322">
        <f>'WAP for Y-AXIS Walls'!F30</f>
        <v>10</v>
      </c>
      <c r="G24" s="279">
        <v>2.9</v>
      </c>
      <c r="H24" s="323">
        <f>0.5*((F24*145.038)*900)/145.038</f>
        <v>4500</v>
      </c>
      <c r="I24" s="323">
        <f>H24*0.4</f>
        <v>1800</v>
      </c>
      <c r="J24" s="135">
        <f>'WAP for Y-AXIS Walls'!D30</f>
        <v>2.4</v>
      </c>
      <c r="K24" s="324">
        <f>if(J24=0,0,G24/J24)</f>
        <v>1.208333333</v>
      </c>
      <c r="L24" s="325">
        <f>J24*'WAP for Y-AXIS Walls'!G30*E24</f>
        <v>0.19872</v>
      </c>
      <c r="M24" s="325">
        <f>if(J24=0,0,L24/J24)</f>
        <v>0.0828</v>
      </c>
      <c r="N24" s="326">
        <f>M24*J24^3/12</f>
        <v>0.0953856</v>
      </c>
      <c r="O24" s="327">
        <f>H24*1000*N24*3/G24^3</f>
        <v>52798.62233</v>
      </c>
      <c r="P24" s="136">
        <f>5/6*L24</f>
        <v>0.1656</v>
      </c>
      <c r="Q24" s="327">
        <f>I24*1000*P24/G24</f>
        <v>102786.2069</v>
      </c>
      <c r="R24" s="327">
        <f>IF(OR(Q24=0,O24=0),0,(1/(1/O24+1/Q24)))</f>
        <v>34881.10085</v>
      </c>
      <c r="S24" s="327">
        <f>D24*R24</f>
        <v>251143.9261</v>
      </c>
      <c r="T24" s="328">
        <f>D24-$G$41</f>
        <v>-1.936599968</v>
      </c>
      <c r="U24" s="329">
        <f>R24*T24^2</f>
        <v>130818.7585</v>
      </c>
      <c r="V24" s="68"/>
      <c r="Z24" s="331"/>
      <c r="AA24" s="332">
        <f>Z25</f>
        <v>0.2465753425</v>
      </c>
      <c r="AB24" s="333">
        <f>AA24*'WAP for Y-AXIS Walls'!$I$67</f>
        <v>284.4788364</v>
      </c>
      <c r="AC24" s="334">
        <f>AB24*$AC$12*$AC$13*$AC$14</f>
        <v>21.33591273</v>
      </c>
    </row>
    <row r="25" ht="16.5" customHeight="1">
      <c r="B25" s="340">
        <v>7.2</v>
      </c>
      <c r="C25" s="320">
        <f>B25*'WAP for Y-AXIS Walls'!O31</f>
        <v>95.904</v>
      </c>
      <c r="D25" s="321"/>
      <c r="E25" s="155" t="str">
        <f>'WAP for Y-AXIS Walls'!E31</f>
        <v/>
      </c>
      <c r="F25" s="322" t="str">
        <f>'WAP for Y-AXIS Walls'!F31</f>
        <v/>
      </c>
      <c r="G25" s="339"/>
      <c r="H25" s="323"/>
      <c r="I25" s="323"/>
      <c r="J25" s="135"/>
      <c r="K25" s="324"/>
      <c r="L25" s="325"/>
      <c r="M25" s="325"/>
      <c r="N25" s="326"/>
      <c r="O25" s="327"/>
      <c r="P25" s="136"/>
      <c r="Q25" s="327"/>
      <c r="R25" s="327"/>
      <c r="S25" s="327"/>
      <c r="T25" s="328"/>
      <c r="U25" s="329"/>
      <c r="V25" s="68"/>
      <c r="Z25" s="336">
        <f>'WAP for Y-AXIS Walls'!O31/'WAP for Y-AXIS Walls'!$O$38</f>
        <v>0.2465753425</v>
      </c>
      <c r="AA25" s="332"/>
    </row>
    <row r="26" ht="17.25" customHeight="1">
      <c r="B26" s="338"/>
      <c r="C26" s="320"/>
      <c r="D26" s="335">
        <v>10.8</v>
      </c>
      <c r="E26" s="155">
        <f>'WAP for Y-AXIS Walls'!E32</f>
        <v>0.2</v>
      </c>
      <c r="F26" s="322">
        <f>'WAP for Y-AXIS Walls'!F32</f>
        <v>10</v>
      </c>
      <c r="G26" s="279">
        <v>2.9</v>
      </c>
      <c r="H26" s="323">
        <f>0.5*((F26*145.038)*900)/145.038</f>
        <v>4500</v>
      </c>
      <c r="I26" s="323">
        <f>H26*0.4</f>
        <v>1800</v>
      </c>
      <c r="J26" s="135">
        <f>'WAP for Y-AXIS Walls'!D32</f>
        <v>2.4</v>
      </c>
      <c r="K26" s="324">
        <f>if(J26=0,0,G26/J26)</f>
        <v>1.208333333</v>
      </c>
      <c r="L26" s="325">
        <f>J26*'WAP for Y-AXIS Walls'!G32*E26</f>
        <v>0.19872</v>
      </c>
      <c r="M26" s="325">
        <f>if(J26=0,0,L26/J26)</f>
        <v>0.0828</v>
      </c>
      <c r="N26" s="326">
        <f>M26*J26^3/12</f>
        <v>0.0953856</v>
      </c>
      <c r="O26" s="327">
        <f>H26*1000*N26*3/G26^3</f>
        <v>52798.62233</v>
      </c>
      <c r="P26" s="136">
        <f>5/6*L26</f>
        <v>0.1656</v>
      </c>
      <c r="Q26" s="327">
        <f>I26*1000*P26/G26</f>
        <v>102786.2069</v>
      </c>
      <c r="R26" s="327">
        <f>IF(OR(Q26=0,O26=0),0,(1/(1/O26+1/Q26)))</f>
        <v>34881.10085</v>
      </c>
      <c r="S26" s="327">
        <f>D26*R26</f>
        <v>376715.8892</v>
      </c>
      <c r="T26" s="328">
        <f>D26-$G$41</f>
        <v>1.663400032</v>
      </c>
      <c r="U26" s="329">
        <f>R26*T26^2</f>
        <v>96512.50633</v>
      </c>
      <c r="V26" s="68"/>
      <c r="Z26" s="331"/>
      <c r="AA26" s="332">
        <f>Z27</f>
        <v>0.2465753425</v>
      </c>
      <c r="AB26" s="333">
        <f>AA26*'WAP for Y-AXIS Walls'!$I$67</f>
        <v>284.4788364</v>
      </c>
      <c r="AC26" s="334">
        <f>AB26*$AC$12*$AC$13*$AC$14</f>
        <v>21.33591273</v>
      </c>
    </row>
    <row r="27" ht="16.5" customHeight="1">
      <c r="B27" s="340">
        <v>10.8</v>
      </c>
      <c r="C27" s="320">
        <f>B27*'WAP for Y-AXIS Walls'!O33</f>
        <v>143.856</v>
      </c>
      <c r="D27" s="321"/>
      <c r="E27" s="155" t="str">
        <f>'WAP for Y-AXIS Walls'!E33</f>
        <v/>
      </c>
      <c r="F27" s="322" t="str">
        <f>'WAP for Y-AXIS Walls'!F33</f>
        <v/>
      </c>
      <c r="G27" s="339"/>
      <c r="H27" s="323"/>
      <c r="I27" s="323"/>
      <c r="J27" s="135"/>
      <c r="K27" s="324"/>
      <c r="L27" s="325"/>
      <c r="M27" s="325"/>
      <c r="N27" s="326"/>
      <c r="O27" s="327"/>
      <c r="P27" s="328"/>
      <c r="Q27" s="327"/>
      <c r="R27" s="327"/>
      <c r="S27" s="327"/>
      <c r="T27" s="328"/>
      <c r="U27" s="329"/>
      <c r="V27" s="68"/>
      <c r="Z27" s="336">
        <f>'WAP for Y-AXIS Walls'!O33/'WAP for Y-AXIS Walls'!$O$38</f>
        <v>0.2465753425</v>
      </c>
      <c r="AA27" s="332"/>
    </row>
    <row r="28" ht="19.5" customHeight="1">
      <c r="B28" s="338"/>
      <c r="C28" s="320"/>
      <c r="D28" s="335">
        <v>14.4</v>
      </c>
      <c r="E28" s="155">
        <f>'WAP for Y-AXIS Walls'!E34</f>
        <v>0.2</v>
      </c>
      <c r="F28" s="322">
        <f>'WAP for Y-AXIS Walls'!F34</f>
        <v>10</v>
      </c>
      <c r="G28" s="279">
        <v>2.9</v>
      </c>
      <c r="H28" s="323">
        <f t="shared" ref="H28:H29" si="14">0.5*((F28*145.038)*900)/145.038</f>
        <v>4500</v>
      </c>
      <c r="I28" s="323">
        <f t="shared" ref="I28:I29" si="15">H28*0.4</f>
        <v>1800</v>
      </c>
      <c r="J28" s="135">
        <f>'WAP for Y-AXIS Walls'!D34</f>
        <v>3.7</v>
      </c>
      <c r="K28" s="324">
        <f t="shared" ref="K28:K29" si="16">if(J28=0,0,G28/J28)</f>
        <v>0.7837837838</v>
      </c>
      <c r="L28" s="325">
        <f>J28*'WAP for Y-AXIS Walls'!G34*E28</f>
        <v>0.30636</v>
      </c>
      <c r="M28" s="325">
        <f t="shared" ref="M28:M29" si="17">if(J28=0,0,L28/J28)</f>
        <v>0.0828</v>
      </c>
      <c r="N28" s="326">
        <f t="shared" ref="N28:N29" si="18">M28*J28^3/12</f>
        <v>0.3495057</v>
      </c>
      <c r="O28" s="327">
        <f>H28*1000*N28*3/G28^3</f>
        <v>193461.2715</v>
      </c>
      <c r="P28" s="136">
        <f t="shared" ref="P28:P29" si="19">5/6*L28</f>
        <v>0.2553</v>
      </c>
      <c r="Q28" s="327">
        <f t="shared" ref="Q28:Q29" si="20">I28*1000*P28/G28</f>
        <v>158462.069</v>
      </c>
      <c r="R28" s="327">
        <f t="shared" ref="R28:R29" si="21">IF(OR(Q28=0,O28=0),0,(1/(1/O28+1/Q28)))</f>
        <v>87110.65684</v>
      </c>
      <c r="S28" s="327">
        <f t="shared" ref="S28:S29" si="22">D28*R28</f>
        <v>1254393.458</v>
      </c>
      <c r="T28" s="328">
        <f t="shared" ref="T28:T29" si="23">D28-$G$41</f>
        <v>5.263400032</v>
      </c>
      <c r="U28" s="329">
        <f t="shared" ref="U28:U29" si="24">R28*T28^2</f>
        <v>2413259.62</v>
      </c>
      <c r="V28" s="68"/>
      <c r="Z28" s="331"/>
      <c r="AA28" s="332">
        <f>Z30*'WAP for Y-AXIS Walls'!L34/'WAP for Y-AXIS Walls'!N36</f>
        <v>0.1301369863</v>
      </c>
      <c r="AB28" s="333">
        <f>AA28*'WAP for Y-AXIS Walls'!$I$67</f>
        <v>150.1416081</v>
      </c>
      <c r="AC28" s="334">
        <f t="shared" ref="AC28:AC29" si="25">AB28*$AC$12*$AC$13*$AC$14</f>
        <v>11.26062061</v>
      </c>
    </row>
    <row r="29" ht="17.25" customHeight="1">
      <c r="B29" s="338"/>
      <c r="C29" s="320"/>
      <c r="D29" s="335">
        <v>14.4</v>
      </c>
      <c r="E29" s="155">
        <f>'WAP for Y-AXIS Walls'!E35</f>
        <v>0.2</v>
      </c>
      <c r="F29" s="322">
        <f>'WAP for Y-AXIS Walls'!F35</f>
        <v>10</v>
      </c>
      <c r="G29" s="279">
        <v>2.9</v>
      </c>
      <c r="H29" s="323">
        <f t="shared" si="14"/>
        <v>4500</v>
      </c>
      <c r="I29" s="323">
        <f t="shared" si="15"/>
        <v>1800</v>
      </c>
      <c r="J29" s="135">
        <f>'WAP for Y-AXIS Walls'!D35</f>
        <v>0</v>
      </c>
      <c r="K29" s="324">
        <f t="shared" si="16"/>
        <v>0</v>
      </c>
      <c r="L29" s="325">
        <f>J29*'WAP for Y-AXIS Walls'!G35*E29</f>
        <v>0</v>
      </c>
      <c r="M29" s="325">
        <f t="shared" si="17"/>
        <v>0</v>
      </c>
      <c r="N29" s="326">
        <f t="shared" si="18"/>
        <v>0</v>
      </c>
      <c r="O29" s="327">
        <f>H29*1000*N29*3/G29^3*$O$13</f>
        <v>0</v>
      </c>
      <c r="P29" s="136">
        <f t="shared" si="19"/>
        <v>0</v>
      </c>
      <c r="Q29" s="327">
        <f t="shared" si="20"/>
        <v>0</v>
      </c>
      <c r="R29" s="327">
        <f t="shared" si="21"/>
        <v>0</v>
      </c>
      <c r="S29" s="327">
        <f t="shared" si="22"/>
        <v>0</v>
      </c>
      <c r="T29" s="328">
        <f t="shared" si="23"/>
        <v>5.263400032</v>
      </c>
      <c r="U29" s="329">
        <f t="shared" si="24"/>
        <v>0</v>
      </c>
      <c r="V29" s="68"/>
      <c r="Z29" s="336"/>
      <c r="AA29" s="337">
        <f>Z30*'WAP for Y-AXIS Walls'!L35/'WAP for Y-AXIS Walls'!N36</f>
        <v>0</v>
      </c>
      <c r="AB29" s="333">
        <f>AA29*'WAP for Y-AXIS Walls'!$I$67</f>
        <v>0</v>
      </c>
      <c r="AC29" s="334">
        <f t="shared" si="25"/>
        <v>0</v>
      </c>
    </row>
    <row r="30" ht="18.0" customHeight="1">
      <c r="B30" s="340">
        <f>14.4-B21</f>
        <v>13.55</v>
      </c>
      <c r="C30" s="320">
        <f>B30*'WAP for Y-AXIS Walls'!O36</f>
        <v>95.2565</v>
      </c>
      <c r="D30" s="321"/>
      <c r="E30" s="135"/>
      <c r="F30" s="341" t="str">
        <f>'WAP for Y-AXIS Walls'!F36</f>
        <v/>
      </c>
      <c r="G30" s="286"/>
      <c r="H30" s="324"/>
      <c r="I30" s="82"/>
      <c r="J30" s="82"/>
      <c r="K30" s="136"/>
      <c r="L30" s="327"/>
      <c r="M30" s="328"/>
      <c r="N30" s="327"/>
      <c r="R30" s="327"/>
      <c r="S30" s="327"/>
      <c r="T30" s="82"/>
      <c r="U30" s="342"/>
      <c r="V30" s="68"/>
      <c r="Z30" s="336">
        <f>'WAP for Y-AXIS Walls'!O36/'WAP for Y-AXIS Walls'!$O$38</f>
        <v>0.1301369863</v>
      </c>
      <c r="AA30" s="332"/>
    </row>
    <row r="31" ht="18.75" customHeight="1">
      <c r="B31" s="156"/>
      <c r="C31" s="343"/>
      <c r="D31" s="344"/>
      <c r="E31" s="328"/>
      <c r="F31" s="129"/>
      <c r="G31" s="152"/>
      <c r="H31" s="324"/>
      <c r="I31" s="82"/>
      <c r="J31" s="82"/>
      <c r="K31" s="136"/>
      <c r="L31" s="327"/>
      <c r="M31" s="328"/>
      <c r="N31" s="327"/>
      <c r="R31" s="327"/>
      <c r="S31" s="327"/>
      <c r="T31" s="82"/>
      <c r="U31" s="342"/>
      <c r="V31" s="68"/>
      <c r="Z31" s="291"/>
      <c r="AA31" s="68"/>
    </row>
    <row r="32" ht="18.75" customHeight="1">
      <c r="B32" s="345"/>
      <c r="C32" s="346">
        <f>SUM(C19:C31)</f>
        <v>388.944</v>
      </c>
      <c r="D32" s="347" t="str">
        <f>D30</f>
        <v/>
      </c>
      <c r="E32" s="348"/>
      <c r="F32" s="349"/>
      <c r="G32" s="349"/>
      <c r="H32" s="349"/>
      <c r="I32" s="349"/>
      <c r="J32" s="349"/>
      <c r="K32" s="349"/>
      <c r="L32" s="350"/>
      <c r="M32" s="350"/>
      <c r="N32" s="349"/>
      <c r="O32" s="351"/>
      <c r="P32" s="351"/>
      <c r="Q32" s="351"/>
      <c r="R32" s="352">
        <f t="shared" ref="R32:S32" si="26">sum(R19:R29)</f>
        <v>219756.2818</v>
      </c>
      <c r="S32" s="352">
        <f t="shared" si="26"/>
        <v>2007825.237</v>
      </c>
      <c r="T32" s="353" t="s">
        <v>333</v>
      </c>
      <c r="U32" s="354">
        <f>sum(U19:U29)</f>
        <v>6047396.746</v>
      </c>
      <c r="V32" s="68"/>
      <c r="Z32" s="332">
        <f>sum(Z19:Z31)</f>
        <v>1</v>
      </c>
      <c r="AA32" s="332">
        <f>sum(AA19:AA30)</f>
        <v>1</v>
      </c>
      <c r="AB32" s="355">
        <f t="shared" ref="AB32:AC32" si="27">sum(AB19:AB31)</f>
        <v>1153.719725</v>
      </c>
      <c r="AC32" s="356">
        <f t="shared" si="27"/>
        <v>86.52897941</v>
      </c>
    </row>
    <row r="33" ht="18.75" customHeight="1">
      <c r="B33" s="68"/>
      <c r="C33" s="357">
        <f>C32/'WAP for Y-AXIS Walls'!O38</f>
        <v>7.2</v>
      </c>
      <c r="D33" s="80" t="s">
        <v>334</v>
      </c>
      <c r="E33" s="68"/>
      <c r="F33" s="68"/>
      <c r="G33" s="68"/>
      <c r="H33" s="68"/>
      <c r="I33" s="68"/>
      <c r="J33" s="68"/>
      <c r="K33" s="328"/>
      <c r="Q33" s="77" t="s">
        <v>335</v>
      </c>
      <c r="R33" s="358">
        <f>'Detailed Check X-AXIS Walls'!R32</f>
        <v>153478.6127</v>
      </c>
      <c r="T33" s="80" t="s">
        <v>336</v>
      </c>
      <c r="U33" s="358">
        <f>'Detailed Check X-AXIS Walls'!U32</f>
        <v>470028.2513</v>
      </c>
      <c r="V33" s="68"/>
      <c r="Z33" s="68"/>
      <c r="AB33" s="26" t="s">
        <v>337</v>
      </c>
      <c r="AC33" s="334">
        <f>AB32*$AC$12*$AC$13*$AC$14</f>
        <v>86.52897941</v>
      </c>
    </row>
    <row r="34" ht="17.25" customHeight="1">
      <c r="B34" s="68"/>
      <c r="C34" s="68"/>
      <c r="D34" s="68"/>
      <c r="E34" s="68"/>
      <c r="F34" s="68"/>
      <c r="G34" s="68"/>
      <c r="H34" s="68"/>
      <c r="I34" s="68"/>
      <c r="J34" s="68"/>
      <c r="K34" s="328"/>
      <c r="L34" s="82"/>
      <c r="M34" s="82"/>
      <c r="Q34" s="68"/>
      <c r="R34" s="68"/>
      <c r="T34" s="80" t="s">
        <v>338</v>
      </c>
      <c r="U34" s="327">
        <f>U32+U33</f>
        <v>6517424.997</v>
      </c>
      <c r="V34" s="68"/>
      <c r="Z34" s="71" t="s">
        <v>339</v>
      </c>
      <c r="AA34" s="333">
        <f>'WAP for Y-AXIS Walls'!$I$67</f>
        <v>1153.719725</v>
      </c>
      <c r="AB34" s="359" t="s">
        <v>340</v>
      </c>
      <c r="AC34" s="360">
        <f>'WAP for Y-AXIS Walls'!I68</f>
        <v>538.0948799</v>
      </c>
    </row>
    <row r="35">
      <c r="L35" s="82"/>
      <c r="M35" s="82"/>
      <c r="N35" s="68"/>
      <c r="O35" s="68"/>
      <c r="P35" s="68"/>
      <c r="Q35" s="68"/>
      <c r="R35" s="68"/>
      <c r="S35" s="68"/>
      <c r="T35" s="68"/>
      <c r="U35" s="68"/>
      <c r="V35" s="68"/>
      <c r="W35" s="68"/>
      <c r="X35" s="68"/>
      <c r="AB35" s="359" t="s">
        <v>157</v>
      </c>
      <c r="AC35" s="361">
        <f>AC33/AC34</f>
        <v>0.160806175</v>
      </c>
    </row>
    <row r="36">
      <c r="L36" s="68"/>
      <c r="M36" s="68"/>
      <c r="N36" s="68"/>
      <c r="O36" s="68"/>
      <c r="P36" s="68"/>
      <c r="Q36" s="68"/>
      <c r="R36" s="68"/>
      <c r="S36" s="68"/>
      <c r="T36" s="68"/>
      <c r="U36" s="68"/>
      <c r="V36" s="68"/>
      <c r="W36" s="68"/>
      <c r="X36" s="68"/>
      <c r="AB36" s="359" t="s">
        <v>341</v>
      </c>
      <c r="AC36" s="362">
        <v>1.14</v>
      </c>
    </row>
    <row r="37">
      <c r="B37" s="363" t="s">
        <v>342</v>
      </c>
      <c r="C37" s="364"/>
      <c r="D37" s="364"/>
      <c r="E37" s="364"/>
      <c r="F37" s="364"/>
      <c r="G37" s="68"/>
      <c r="H37" s="68"/>
      <c r="I37" s="68"/>
      <c r="J37" s="68"/>
      <c r="K37" s="328"/>
      <c r="L37" s="68"/>
      <c r="M37" s="68"/>
      <c r="N37" s="68"/>
      <c r="O37" s="68"/>
      <c r="P37" s="68"/>
      <c r="Q37" s="68"/>
      <c r="R37" s="68"/>
      <c r="S37" s="68"/>
      <c r="T37" s="68"/>
      <c r="U37" s="68"/>
      <c r="V37" s="68"/>
      <c r="W37" s="68"/>
      <c r="X37" s="68"/>
    </row>
    <row r="38">
      <c r="B38" s="365"/>
      <c r="C38" s="366"/>
      <c r="D38" s="364"/>
      <c r="E38" s="364"/>
      <c r="F38" s="364"/>
      <c r="G38" s="367"/>
      <c r="H38" s="68"/>
      <c r="I38" s="68"/>
      <c r="J38" s="68"/>
      <c r="K38" s="68"/>
      <c r="N38" s="68"/>
      <c r="O38" s="68"/>
      <c r="P38" s="68"/>
      <c r="Q38" s="68"/>
      <c r="R38" s="68"/>
      <c r="S38" s="68"/>
      <c r="T38" s="68"/>
      <c r="U38" s="68"/>
      <c r="V38" s="68"/>
      <c r="W38" s="68"/>
      <c r="X38" s="68"/>
    </row>
    <row r="39">
      <c r="B39" s="68"/>
      <c r="N39" s="68"/>
      <c r="O39" s="68"/>
      <c r="P39" s="68"/>
      <c r="Q39" s="68"/>
      <c r="R39" s="68"/>
      <c r="S39" s="68"/>
      <c r="T39" s="68"/>
      <c r="U39" s="68"/>
      <c r="V39" s="68"/>
      <c r="W39" s="68"/>
      <c r="X39" s="68"/>
    </row>
    <row r="40">
      <c r="B40" s="328"/>
      <c r="C40" s="68"/>
      <c r="D40" s="68"/>
      <c r="E40" s="70"/>
      <c r="F40" s="70"/>
      <c r="G40" s="328"/>
      <c r="H40" s="80"/>
      <c r="I40" s="71"/>
      <c r="J40" s="68"/>
      <c r="K40" s="68"/>
      <c r="N40" s="68"/>
      <c r="O40" s="68"/>
      <c r="P40" s="68"/>
      <c r="Q40" s="68"/>
      <c r="R40" s="68"/>
      <c r="S40" s="68"/>
      <c r="T40" s="68"/>
      <c r="U40" s="68"/>
      <c r="V40" s="68"/>
      <c r="W40" s="68"/>
      <c r="X40" s="68"/>
    </row>
    <row r="41">
      <c r="B41" s="328"/>
      <c r="C41" s="82"/>
      <c r="D41" s="68"/>
      <c r="E41" s="70"/>
      <c r="F41" s="70" t="s">
        <v>343</v>
      </c>
      <c r="G41" s="328">
        <f>S32/R32</f>
        <v>9.136599968</v>
      </c>
      <c r="H41" s="80" t="s">
        <v>344</v>
      </c>
      <c r="I41" s="68"/>
      <c r="J41" s="68"/>
      <c r="K41" s="68"/>
      <c r="N41" s="68"/>
      <c r="O41" s="68"/>
      <c r="P41" s="68"/>
      <c r="Q41" s="68"/>
      <c r="R41" s="68"/>
      <c r="S41" s="68"/>
      <c r="T41" s="68"/>
      <c r="U41" s="68"/>
      <c r="V41" s="68"/>
      <c r="W41" s="68"/>
      <c r="X41" s="68"/>
    </row>
    <row r="42">
      <c r="B42" s="328"/>
      <c r="C42" s="82"/>
      <c r="D42" s="68"/>
      <c r="E42" s="70"/>
      <c r="F42" s="70" t="s">
        <v>345</v>
      </c>
      <c r="G42" s="328">
        <f>'WAP for Y-AXIS Walls'!I68/$R$32*1000</f>
        <v>2.4485984</v>
      </c>
      <c r="H42" s="43" t="s">
        <v>346</v>
      </c>
      <c r="I42" s="71" t="s">
        <v>347</v>
      </c>
      <c r="J42" s="68"/>
      <c r="K42" s="68"/>
      <c r="N42" s="68"/>
      <c r="O42" s="68"/>
      <c r="P42" s="68"/>
      <c r="Q42" s="68"/>
      <c r="R42" s="68"/>
      <c r="S42" s="68"/>
      <c r="T42" s="68"/>
      <c r="U42" s="68"/>
      <c r="V42" s="68"/>
      <c r="W42" s="68"/>
      <c r="X42" s="68"/>
    </row>
    <row r="43">
      <c r="B43" s="328"/>
      <c r="C43" s="82"/>
      <c r="D43" s="68"/>
      <c r="E43" s="70"/>
      <c r="F43" s="70" t="s">
        <v>348</v>
      </c>
      <c r="G43" s="328">
        <f>C33</f>
        <v>7.2</v>
      </c>
      <c r="H43" s="43" t="s">
        <v>84</v>
      </c>
      <c r="I43" s="68"/>
      <c r="J43" s="68"/>
      <c r="K43" s="68"/>
      <c r="N43" s="68"/>
      <c r="O43" s="68"/>
      <c r="P43" s="68"/>
      <c r="Q43" s="68"/>
      <c r="R43" s="68"/>
      <c r="S43" s="68"/>
      <c r="T43" s="68"/>
      <c r="U43" s="68"/>
      <c r="V43" s="68"/>
      <c r="W43" s="68"/>
      <c r="X43" s="68"/>
    </row>
    <row r="44">
      <c r="B44" s="328"/>
      <c r="C44" s="82"/>
      <c r="D44" s="68"/>
      <c r="E44" s="70"/>
      <c r="F44" s="70" t="s">
        <v>349</v>
      </c>
      <c r="G44" s="328">
        <f>G43-G41</f>
        <v>-1.936599968</v>
      </c>
      <c r="H44" s="80" t="s">
        <v>344</v>
      </c>
      <c r="I44" s="71" t="s">
        <v>350</v>
      </c>
      <c r="J44" s="68"/>
      <c r="K44" s="68"/>
      <c r="N44" s="68"/>
      <c r="O44" s="68"/>
      <c r="P44" s="68"/>
      <c r="Q44" s="68"/>
      <c r="R44" s="68"/>
      <c r="S44" s="68"/>
      <c r="T44" s="68"/>
      <c r="U44" s="68"/>
      <c r="V44" s="68"/>
      <c r="W44" s="68"/>
      <c r="X44" s="68"/>
    </row>
    <row r="45">
      <c r="B45" s="328"/>
      <c r="C45" s="82"/>
      <c r="D45" s="68"/>
      <c r="E45" s="71"/>
      <c r="F45" s="77" t="s">
        <v>351</v>
      </c>
      <c r="G45" s="97">
        <f>D8</f>
        <v>14.6</v>
      </c>
      <c r="H45" s="71" t="s">
        <v>84</v>
      </c>
      <c r="I45" s="68"/>
      <c r="J45" s="68"/>
      <c r="K45" s="68"/>
      <c r="L45" s="68"/>
      <c r="M45" s="68"/>
      <c r="N45" s="68"/>
      <c r="O45" s="68"/>
      <c r="P45" s="68"/>
      <c r="Q45" s="68"/>
      <c r="R45" s="68"/>
      <c r="S45" s="68"/>
      <c r="T45" s="68"/>
      <c r="U45" s="68"/>
      <c r="V45" s="68"/>
      <c r="W45" s="68"/>
      <c r="X45" s="68"/>
    </row>
    <row r="46">
      <c r="C46" s="82"/>
      <c r="D46" s="68"/>
      <c r="E46" s="70"/>
      <c r="F46" s="70" t="s">
        <v>352</v>
      </c>
      <c r="G46" s="368">
        <f>G44/G45</f>
        <v>-0.1326438334</v>
      </c>
      <c r="H46" s="71" t="s">
        <v>353</v>
      </c>
      <c r="I46" s="71" t="s">
        <v>354</v>
      </c>
      <c r="J46" s="68"/>
      <c r="K46" s="68"/>
      <c r="L46" s="68"/>
      <c r="M46" s="68"/>
      <c r="N46" s="68"/>
      <c r="O46" s="68"/>
      <c r="P46" s="68"/>
      <c r="Q46" s="68"/>
      <c r="R46" s="68"/>
      <c r="S46" s="68"/>
      <c r="T46" s="68"/>
      <c r="U46" s="68"/>
      <c r="V46" s="68"/>
      <c r="W46" s="68"/>
      <c r="X46" s="68"/>
    </row>
    <row r="47">
      <c r="J47" s="68"/>
      <c r="K47" s="68"/>
      <c r="L47" s="68"/>
      <c r="M47" s="68"/>
      <c r="N47" s="68"/>
      <c r="O47" s="68"/>
      <c r="P47" s="68"/>
      <c r="Q47" s="68"/>
      <c r="R47" s="68"/>
      <c r="S47" s="68"/>
      <c r="T47" s="68"/>
      <c r="U47" s="68"/>
      <c r="V47" s="68"/>
      <c r="W47" s="68"/>
      <c r="X47" s="68"/>
    </row>
    <row r="48">
      <c r="J48" s="68"/>
      <c r="K48" s="68"/>
      <c r="L48" s="68"/>
      <c r="M48" s="68"/>
      <c r="N48" s="68"/>
      <c r="O48" s="68"/>
      <c r="P48" s="68"/>
      <c r="Q48" s="68"/>
      <c r="R48" s="68"/>
      <c r="S48" s="68"/>
      <c r="T48" s="68"/>
      <c r="U48" s="68"/>
      <c r="V48" s="68"/>
      <c r="W48" s="68"/>
      <c r="X48" s="68"/>
    </row>
    <row r="49" ht="27.75" customHeight="1">
      <c r="J49" s="68"/>
      <c r="K49" s="68"/>
      <c r="L49" s="68"/>
      <c r="M49" s="68"/>
      <c r="N49" s="68"/>
      <c r="O49" s="68"/>
      <c r="P49" s="68"/>
      <c r="Q49" s="68"/>
      <c r="R49" s="68"/>
      <c r="S49" s="68"/>
      <c r="T49" s="68"/>
      <c r="U49" s="68"/>
      <c r="V49" s="68"/>
      <c r="W49" s="68"/>
      <c r="X49" s="68"/>
    </row>
    <row r="50">
      <c r="J50" s="68"/>
      <c r="K50" s="68"/>
      <c r="L50" s="68"/>
      <c r="M50" s="68"/>
      <c r="N50" s="68"/>
      <c r="O50" s="68"/>
      <c r="P50" s="68"/>
      <c r="Q50" s="68"/>
      <c r="R50" s="68"/>
      <c r="S50" s="68"/>
      <c r="T50" s="68"/>
      <c r="U50" s="68"/>
      <c r="V50" s="68"/>
      <c r="W50" s="68"/>
      <c r="X50" s="68"/>
    </row>
    <row r="51">
      <c r="J51" s="68"/>
      <c r="K51" s="68"/>
      <c r="L51" s="68"/>
      <c r="M51" s="68"/>
      <c r="N51" s="68"/>
      <c r="O51" s="68"/>
      <c r="P51" s="68"/>
      <c r="Q51" s="68"/>
      <c r="R51" s="68"/>
      <c r="S51" s="68"/>
      <c r="T51" s="68"/>
      <c r="U51" s="68"/>
      <c r="V51" s="68"/>
      <c r="W51" s="68"/>
      <c r="X51" s="68"/>
    </row>
    <row r="52">
      <c r="A52" s="47"/>
      <c r="B52" s="43"/>
      <c r="C52" s="44"/>
      <c r="D52" s="43"/>
      <c r="E52" s="43"/>
      <c r="F52" s="43"/>
      <c r="G52" s="43"/>
      <c r="H52" s="68"/>
      <c r="I52" s="68"/>
      <c r="J52" s="68"/>
      <c r="K52" s="68"/>
      <c r="L52" s="68"/>
      <c r="M52" s="68"/>
      <c r="N52" s="68"/>
      <c r="O52" s="45"/>
      <c r="P52" s="43"/>
      <c r="Q52" s="43"/>
      <c r="R52" s="43"/>
      <c r="S52" s="68"/>
      <c r="T52" s="68"/>
      <c r="U52" s="68"/>
      <c r="V52" s="68"/>
      <c r="W52" s="68"/>
      <c r="X52" s="68"/>
    </row>
    <row r="53">
      <c r="A53" s="47"/>
      <c r="B53" s="49" t="s">
        <v>75</v>
      </c>
      <c r="C53" s="50"/>
      <c r="D53" s="51"/>
      <c r="E53" s="51"/>
      <c r="F53" s="51"/>
      <c r="G53" s="51"/>
      <c r="H53" s="51"/>
      <c r="I53" s="51"/>
      <c r="J53" s="51"/>
      <c r="K53" s="51"/>
      <c r="L53" s="51"/>
      <c r="M53" s="51"/>
      <c r="N53" s="52" t="s">
        <v>76</v>
      </c>
      <c r="O53" s="52"/>
      <c r="P53" s="51"/>
      <c r="Q53" s="51"/>
      <c r="R53" s="51"/>
      <c r="S53" s="68"/>
      <c r="T53" s="68"/>
      <c r="U53" s="68"/>
      <c r="V53" s="68"/>
      <c r="W53" s="68"/>
      <c r="X53" s="68"/>
    </row>
    <row r="54">
      <c r="A54" s="47"/>
      <c r="B54" s="49" t="s">
        <v>77</v>
      </c>
      <c r="C54" s="55" t="s">
        <v>78</v>
      </c>
      <c r="D54" s="56"/>
      <c r="E54" s="51"/>
      <c r="F54" s="51"/>
      <c r="G54" s="51"/>
      <c r="H54" s="51"/>
      <c r="I54" s="51"/>
      <c r="J54" s="51"/>
      <c r="K54" s="51"/>
      <c r="L54" s="51"/>
      <c r="M54" s="51"/>
      <c r="N54" s="57" t="s">
        <v>79</v>
      </c>
      <c r="O54" s="57"/>
      <c r="P54" s="51"/>
      <c r="Q54" s="51"/>
      <c r="R54" s="51"/>
      <c r="S54" s="68"/>
      <c r="T54" s="68"/>
      <c r="U54" s="68"/>
      <c r="V54" s="68"/>
      <c r="W54" s="68"/>
      <c r="X54" s="68"/>
    </row>
    <row r="55">
      <c r="A55" s="47"/>
      <c r="B55" s="51"/>
      <c r="C55" s="52"/>
      <c r="D55" s="56"/>
      <c r="E55" s="51"/>
      <c r="F55" s="51"/>
      <c r="G55" s="51"/>
      <c r="H55" s="51"/>
      <c r="I55" s="51"/>
      <c r="J55" s="51"/>
      <c r="K55" s="51"/>
      <c r="L55" s="51"/>
      <c r="M55" s="51"/>
      <c r="N55" s="57" t="s">
        <v>80</v>
      </c>
      <c r="O55" s="57"/>
      <c r="P55" s="51"/>
      <c r="Q55" s="51"/>
      <c r="R55" s="51"/>
      <c r="S55" s="68"/>
      <c r="T55" s="68"/>
      <c r="U55" s="68"/>
      <c r="V55" s="68"/>
      <c r="W55" s="68"/>
      <c r="X55" s="68"/>
    </row>
    <row r="56">
      <c r="A56" s="33"/>
      <c r="B56" s="43"/>
      <c r="C56" s="45"/>
      <c r="D56" s="43"/>
      <c r="E56" s="43"/>
      <c r="F56" s="43"/>
      <c r="G56" s="43"/>
      <c r="H56" s="43"/>
      <c r="I56" s="43"/>
      <c r="J56" s="43"/>
      <c r="K56" s="43"/>
      <c r="L56" s="43"/>
      <c r="M56" s="43"/>
      <c r="N56" s="43"/>
      <c r="O56" s="43"/>
      <c r="P56" s="43"/>
      <c r="Q56" s="43"/>
      <c r="R56" s="43"/>
      <c r="S56" s="68"/>
      <c r="T56" s="68"/>
      <c r="U56" s="68"/>
      <c r="V56" s="68"/>
      <c r="W56" s="68"/>
      <c r="X56" s="68"/>
    </row>
    <row r="57">
      <c r="B57" s="68"/>
      <c r="C57" s="68"/>
      <c r="D57" s="68"/>
      <c r="E57" s="68"/>
      <c r="F57" s="68"/>
      <c r="G57" s="68"/>
      <c r="H57" s="68"/>
      <c r="I57" s="68"/>
      <c r="J57" s="68"/>
      <c r="K57" s="68"/>
      <c r="L57" s="68"/>
      <c r="M57" s="68"/>
      <c r="N57" s="68"/>
      <c r="O57" s="68"/>
      <c r="P57" s="68"/>
      <c r="Q57" s="68"/>
      <c r="R57" s="68"/>
      <c r="S57" s="68"/>
      <c r="T57" s="68"/>
      <c r="U57" s="68"/>
      <c r="V57" s="68"/>
      <c r="W57" s="68"/>
      <c r="X57" s="68"/>
    </row>
    <row r="58">
      <c r="B58" s="114" t="s">
        <v>355</v>
      </c>
      <c r="C58" s="68"/>
      <c r="D58" s="369"/>
      <c r="E58" s="68"/>
      <c r="F58" s="68"/>
      <c r="G58" s="68"/>
      <c r="H58" s="68"/>
      <c r="I58" s="68"/>
      <c r="J58" s="114" t="s">
        <v>356</v>
      </c>
      <c r="K58" s="68"/>
      <c r="L58" s="68"/>
      <c r="M58" s="68"/>
      <c r="N58" s="68"/>
      <c r="O58" s="68"/>
      <c r="P58" s="68"/>
      <c r="Q58" s="68"/>
      <c r="R58" s="68"/>
      <c r="S58" s="68"/>
      <c r="T58" s="68"/>
      <c r="U58" s="68"/>
      <c r="V58" s="68"/>
      <c r="W58" s="68"/>
      <c r="X58" s="68"/>
      <c r="Y58" s="68"/>
    </row>
    <row r="59">
      <c r="B59" s="114" t="s">
        <v>357</v>
      </c>
      <c r="C59" s="68"/>
      <c r="D59" s="369"/>
      <c r="E59" s="68"/>
      <c r="F59" s="68"/>
      <c r="G59" s="68"/>
      <c r="H59" s="68"/>
      <c r="I59" s="68"/>
      <c r="J59" s="114" t="s">
        <v>357</v>
      </c>
      <c r="K59" s="68"/>
      <c r="L59" s="68"/>
      <c r="M59" s="68"/>
      <c r="N59" s="68"/>
      <c r="O59" s="68"/>
      <c r="P59" s="68"/>
      <c r="Q59" s="114" t="s">
        <v>358</v>
      </c>
      <c r="R59" s="68"/>
      <c r="S59" s="68"/>
      <c r="T59" s="68"/>
      <c r="U59" s="68"/>
      <c r="V59" s="68"/>
      <c r="W59" s="68"/>
      <c r="X59" s="68"/>
      <c r="Y59" s="68"/>
    </row>
    <row r="60">
      <c r="B60" s="114" t="s">
        <v>359</v>
      </c>
      <c r="C60" s="68"/>
      <c r="D60" s="68"/>
      <c r="E60" s="68"/>
      <c r="F60" s="68"/>
      <c r="G60" s="68"/>
      <c r="H60" s="68"/>
      <c r="I60" s="68"/>
      <c r="J60" s="114" t="s">
        <v>359</v>
      </c>
      <c r="K60" s="68"/>
      <c r="L60" s="68"/>
      <c r="M60" s="68"/>
      <c r="N60" s="68"/>
      <c r="O60" s="68"/>
      <c r="P60" s="68"/>
      <c r="Q60" s="114" t="s">
        <v>360</v>
      </c>
      <c r="R60" s="68"/>
      <c r="S60" s="68"/>
      <c r="T60" s="68"/>
      <c r="U60" s="68"/>
      <c r="V60" s="68"/>
      <c r="W60" s="68"/>
      <c r="X60" s="68"/>
      <c r="Y60" s="68"/>
    </row>
    <row r="61">
      <c r="B61" s="370" t="s">
        <v>361</v>
      </c>
      <c r="C61" s="100" t="s">
        <v>362</v>
      </c>
      <c r="D61" s="101" t="s">
        <v>363</v>
      </c>
      <c r="E61" s="303" t="s">
        <v>364</v>
      </c>
      <c r="F61" s="303" t="s">
        <v>114</v>
      </c>
      <c r="G61" s="303" t="s">
        <v>114</v>
      </c>
      <c r="H61" s="101" t="s">
        <v>365</v>
      </c>
      <c r="I61" s="371"/>
      <c r="J61" s="100" t="s">
        <v>362</v>
      </c>
      <c r="K61" s="101" t="s">
        <v>363</v>
      </c>
      <c r="L61" s="303" t="s">
        <v>364</v>
      </c>
      <c r="M61" s="303" t="s">
        <v>114</v>
      </c>
      <c r="N61" s="303" t="s">
        <v>114</v>
      </c>
      <c r="O61" s="101" t="s">
        <v>365</v>
      </c>
      <c r="P61" s="371"/>
      <c r="Q61" s="100" t="s">
        <v>366</v>
      </c>
      <c r="R61" s="101" t="s">
        <v>367</v>
      </c>
      <c r="S61" s="101" t="s">
        <v>368</v>
      </c>
      <c r="T61" s="303" t="s">
        <v>114</v>
      </c>
      <c r="U61" s="303" t="s">
        <v>369</v>
      </c>
      <c r="V61" s="101" t="s">
        <v>365</v>
      </c>
      <c r="W61" s="371"/>
      <c r="X61" s="110"/>
      <c r="Y61" s="26" t="s">
        <v>370</v>
      </c>
      <c r="Z61" s="26" t="s">
        <v>371</v>
      </c>
      <c r="AA61" s="26" t="s">
        <v>372</v>
      </c>
      <c r="AB61" s="26" t="s">
        <v>372</v>
      </c>
      <c r="AC61" s="26" t="s">
        <v>372</v>
      </c>
      <c r="AD61" s="26" t="s">
        <v>372</v>
      </c>
      <c r="AE61" s="26" t="s">
        <v>373</v>
      </c>
      <c r="AF61" s="26" t="s">
        <v>372</v>
      </c>
      <c r="AG61" s="26" t="s">
        <v>374</v>
      </c>
      <c r="AH61" s="26" t="s">
        <v>374</v>
      </c>
      <c r="AI61" s="26" t="s">
        <v>375</v>
      </c>
      <c r="AJ61" s="26" t="s">
        <v>376</v>
      </c>
      <c r="AK61" s="26" t="s">
        <v>375</v>
      </c>
      <c r="AL61" s="26" t="s">
        <v>376</v>
      </c>
      <c r="AM61" s="26" t="s">
        <v>377</v>
      </c>
    </row>
    <row r="62">
      <c r="B62" s="372" t="s">
        <v>378</v>
      </c>
      <c r="C62" s="306" t="s">
        <v>379</v>
      </c>
      <c r="D62" s="111" t="s">
        <v>379</v>
      </c>
      <c r="E62" s="111" t="s">
        <v>380</v>
      </c>
      <c r="F62" s="110" t="s">
        <v>381</v>
      </c>
      <c r="G62" s="111" t="s">
        <v>361</v>
      </c>
      <c r="H62" s="111" t="s">
        <v>114</v>
      </c>
      <c r="I62" s="112" t="s">
        <v>382</v>
      </c>
      <c r="J62" s="306" t="s">
        <v>379</v>
      </c>
      <c r="K62" s="111" t="s">
        <v>379</v>
      </c>
      <c r="L62" s="111" t="s">
        <v>380</v>
      </c>
      <c r="M62" s="110" t="s">
        <v>381</v>
      </c>
      <c r="N62" s="111" t="s">
        <v>361</v>
      </c>
      <c r="O62" s="111" t="s">
        <v>114</v>
      </c>
      <c r="P62" s="112" t="s">
        <v>382</v>
      </c>
      <c r="Q62" s="306" t="s">
        <v>298</v>
      </c>
      <c r="R62" s="115" t="s">
        <v>383</v>
      </c>
      <c r="S62" s="111" t="s">
        <v>384</v>
      </c>
      <c r="T62" s="111" t="s">
        <v>385</v>
      </c>
      <c r="U62" s="111" t="s">
        <v>386</v>
      </c>
      <c r="V62" s="111" t="s">
        <v>114</v>
      </c>
      <c r="W62" s="112" t="s">
        <v>382</v>
      </c>
      <c r="X62" s="110"/>
      <c r="Y62" s="26" t="s">
        <v>387</v>
      </c>
      <c r="Z62" s="26" t="s">
        <v>388</v>
      </c>
      <c r="AB62" s="26" t="s">
        <v>389</v>
      </c>
      <c r="AC62" s="26" t="s">
        <v>390</v>
      </c>
      <c r="AD62" s="26" t="s">
        <v>391</v>
      </c>
      <c r="AE62" s="26" t="s">
        <v>392</v>
      </c>
      <c r="AF62" s="26" t="s">
        <v>393</v>
      </c>
      <c r="AG62" s="26" t="s">
        <v>394</v>
      </c>
      <c r="AH62" s="26" t="s">
        <v>395</v>
      </c>
      <c r="AI62" s="26" t="s">
        <v>374</v>
      </c>
      <c r="AJ62" s="26" t="s">
        <v>396</v>
      </c>
      <c r="AM62" s="26" t="s">
        <v>397</v>
      </c>
      <c r="AN62" s="26" t="s">
        <v>398</v>
      </c>
    </row>
    <row r="63">
      <c r="B63" s="372" t="s">
        <v>399</v>
      </c>
      <c r="C63" s="306" t="s">
        <v>400</v>
      </c>
      <c r="D63" s="111" t="s">
        <v>401</v>
      </c>
      <c r="E63" s="115" t="s">
        <v>402</v>
      </c>
      <c r="F63" s="111" t="s">
        <v>403</v>
      </c>
      <c r="G63" s="111" t="s">
        <v>404</v>
      </c>
      <c r="H63" s="110" t="s">
        <v>405</v>
      </c>
      <c r="I63" s="373"/>
      <c r="J63" s="306" t="s">
        <v>400</v>
      </c>
      <c r="K63" s="111" t="s">
        <v>401</v>
      </c>
      <c r="L63" s="115" t="s">
        <v>402</v>
      </c>
      <c r="M63" s="111" t="s">
        <v>403</v>
      </c>
      <c r="N63" s="111" t="s">
        <v>404</v>
      </c>
      <c r="O63" s="110" t="s">
        <v>405</v>
      </c>
      <c r="P63" s="373"/>
      <c r="Q63" s="306" t="s">
        <v>406</v>
      </c>
      <c r="R63" s="111" t="s">
        <v>407</v>
      </c>
      <c r="S63" s="111" t="s">
        <v>408</v>
      </c>
      <c r="T63" s="111" t="s">
        <v>403</v>
      </c>
      <c r="U63" s="111" t="s">
        <v>404</v>
      </c>
      <c r="V63" s="110" t="s">
        <v>405</v>
      </c>
      <c r="W63" s="373"/>
      <c r="X63" s="110"/>
      <c r="Y63" s="26" t="s">
        <v>409</v>
      </c>
      <c r="Z63" s="26" t="s">
        <v>410</v>
      </c>
      <c r="AD63" s="26" t="s">
        <v>411</v>
      </c>
      <c r="AE63" s="374">
        <f>AE66*AE64</f>
        <v>60915.96</v>
      </c>
      <c r="AF63" s="26" t="s">
        <v>412</v>
      </c>
      <c r="AG63" s="26" t="s">
        <v>413</v>
      </c>
      <c r="AH63" s="26" t="s">
        <v>414</v>
      </c>
      <c r="AI63" s="26" t="s">
        <v>415</v>
      </c>
      <c r="AJ63" s="26" t="s">
        <v>416</v>
      </c>
      <c r="AM63" s="26" t="s">
        <v>417</v>
      </c>
      <c r="AN63" s="26" t="s">
        <v>418</v>
      </c>
    </row>
    <row r="64">
      <c r="B64" s="372" t="s">
        <v>419</v>
      </c>
      <c r="C64" s="306" t="s">
        <v>346</v>
      </c>
      <c r="D64" s="111" t="s">
        <v>346</v>
      </c>
      <c r="E64" s="111" t="s">
        <v>420</v>
      </c>
      <c r="F64" s="375">
        <f>if('WAP for Y-AXIS Walls'!I74/'WAP for Y-AXIS Walls'!I73&lt;1,1,'WAP for Y-AXIS Walls'!I74/'WAP for Y-AXIS Walls'!I73)</f>
        <v>1</v>
      </c>
      <c r="G64" s="118"/>
      <c r="H64" s="118"/>
      <c r="I64" s="309"/>
      <c r="J64" s="306" t="s">
        <v>346</v>
      </c>
      <c r="K64" s="111" t="s">
        <v>346</v>
      </c>
      <c r="L64" s="111" t="s">
        <v>420</v>
      </c>
      <c r="M64" s="375">
        <f>if('WAP for Y-AXIS Walls'!I74/'WAP for Y-AXIS Walls'!I73&lt;1,1,'WAP for Y-AXIS Walls'!I74/'WAP for Y-AXIS Walls'!I73)</f>
        <v>1</v>
      </c>
      <c r="N64" s="118"/>
      <c r="O64" s="118"/>
      <c r="P64" s="309"/>
      <c r="Q64" s="113" t="s">
        <v>421</v>
      </c>
      <c r="R64" s="115" t="s">
        <v>422</v>
      </c>
      <c r="S64" s="115" t="s">
        <v>423</v>
      </c>
      <c r="T64" s="375">
        <f>if('WAP for Y-AXIS Walls'!I74/'WAP for Y-AXIS Walls'!I73&lt;1,1,'WAP for Y-AXIS Walls'!I74/'WAP for Y-AXIS Walls'!I73)</f>
        <v>1</v>
      </c>
      <c r="U64" s="118"/>
      <c r="V64" s="118"/>
      <c r="W64" s="309"/>
      <c r="X64" s="118"/>
      <c r="Y64" s="26" t="s">
        <v>424</v>
      </c>
      <c r="Z64" s="26" t="s">
        <v>425</v>
      </c>
      <c r="AD64" s="26" t="s">
        <v>426</v>
      </c>
      <c r="AE64" s="26">
        <v>145.038</v>
      </c>
      <c r="AF64" s="26" t="s">
        <v>427</v>
      </c>
      <c r="AG64" s="26" t="s">
        <v>428</v>
      </c>
      <c r="AI64" s="26" t="s">
        <v>414</v>
      </c>
      <c r="AJ64" s="26" t="s">
        <v>429</v>
      </c>
      <c r="AM64" s="26" t="s">
        <v>430</v>
      </c>
      <c r="AN64" s="26" t="s">
        <v>431</v>
      </c>
    </row>
    <row r="65">
      <c r="B65" s="376" t="s">
        <v>432</v>
      </c>
      <c r="C65" s="377" t="s">
        <v>433</v>
      </c>
      <c r="D65" s="378" t="s">
        <v>434</v>
      </c>
      <c r="E65" s="378" t="s">
        <v>435</v>
      </c>
      <c r="F65" s="379" t="s">
        <v>436</v>
      </c>
      <c r="G65" s="378" t="s">
        <v>437</v>
      </c>
      <c r="H65" s="380" t="s">
        <v>438</v>
      </c>
      <c r="I65" s="122"/>
      <c r="J65" s="377" t="s">
        <v>439</v>
      </c>
      <c r="K65" s="378" t="s">
        <v>434</v>
      </c>
      <c r="L65" s="378" t="s">
        <v>435</v>
      </c>
      <c r="M65" s="379" t="s">
        <v>436</v>
      </c>
      <c r="N65" s="378" t="s">
        <v>440</v>
      </c>
      <c r="O65" s="380" t="s">
        <v>438</v>
      </c>
      <c r="P65" s="120"/>
      <c r="Q65" s="377" t="s">
        <v>441</v>
      </c>
      <c r="R65" s="381" t="s">
        <v>442</v>
      </c>
      <c r="S65" s="380" t="s">
        <v>443</v>
      </c>
      <c r="T65" s="378" t="s">
        <v>444</v>
      </c>
      <c r="U65" s="379" t="s">
        <v>445</v>
      </c>
      <c r="V65" s="380" t="s">
        <v>446</v>
      </c>
      <c r="W65" s="122"/>
      <c r="X65" s="118"/>
      <c r="Y65" s="26" t="s">
        <v>199</v>
      </c>
      <c r="Z65" s="26" t="s">
        <v>199</v>
      </c>
      <c r="AB65" s="26" t="s">
        <v>447</v>
      </c>
      <c r="AC65" s="26" t="s">
        <v>186</v>
      </c>
      <c r="AD65" s="26" t="s">
        <v>84</v>
      </c>
      <c r="AE65" s="26" t="s">
        <v>186</v>
      </c>
      <c r="AF65" s="26" t="s">
        <v>199</v>
      </c>
      <c r="AG65" s="26" t="s">
        <v>199</v>
      </c>
      <c r="AH65" s="26" t="s">
        <v>183</v>
      </c>
      <c r="AI65" s="26" t="s">
        <v>199</v>
      </c>
      <c r="AJ65" s="26" t="s">
        <v>199</v>
      </c>
      <c r="AK65" s="26" t="s">
        <v>405</v>
      </c>
      <c r="AL65" s="26" t="s">
        <v>405</v>
      </c>
    </row>
    <row r="66">
      <c r="B66" s="382">
        <f>'WAP for Y-AXIS Walls'!$I$63*'WAP for Y-AXIS Walls'!$I$56*'WAP for Y-AXIS Walls'!$I$57</f>
        <v>596.5219172</v>
      </c>
      <c r="C66" s="383">
        <f t="shared" ref="C66:C67" si="28">T19*$G$99*1000</f>
        <v>0.8424549949</v>
      </c>
      <c r="D66" s="328">
        <f t="shared" ref="D66:D67" si="29">C66+$G$42</f>
        <v>3.291053395</v>
      </c>
      <c r="E66" s="384">
        <f t="shared" ref="E66:E67" si="30">D66/G19/1000</f>
        <v>0.001134845998</v>
      </c>
      <c r="F66" s="385">
        <f t="shared" ref="F66:F67" si="31">R19*D66/1000*$F$64</f>
        <v>92.15713811</v>
      </c>
      <c r="G66" s="385">
        <f>IF('WAP for Y-AXIS Walls'!L25=0,0,F66/('WAP for Y-AXIS Walls'!L25*'WAP for Y-AXIS Walls'!$I$58))</f>
        <v>344.3610808</v>
      </c>
      <c r="H66" s="324">
        <f t="shared" ref="H66:H67" si="32">G66/B66</f>
        <v>0.5772815228</v>
      </c>
      <c r="I66" s="386" t="str">
        <f t="shared" ref="I66:I67" si="33">if(H66&lt;=1,"OK","NG")</f>
        <v>OK</v>
      </c>
      <c r="J66" s="328">
        <f t="shared" ref="J66:J67" si="34">T19*$Q$99*1000</f>
        <v>2.381022975</v>
      </c>
      <c r="K66" s="328">
        <f t="shared" ref="K66:K67" si="35">J66+$G$42</f>
        <v>4.829621375</v>
      </c>
      <c r="L66" s="384">
        <f t="shared" ref="L66:L67" si="36">K66/G19/1000</f>
        <v>0.001665386681</v>
      </c>
      <c r="M66" s="385">
        <f t="shared" ref="M66:M67" si="37">R19*K66/1000*$M$64</f>
        <v>135.2406147</v>
      </c>
      <c r="N66" s="385">
        <f>IF('WAP for Y-AXIS Walls'!L25=0,0,M66/('WAP for Y-AXIS Walls'!L25*'WAP for Y-AXIS Walls'!$I$58))</f>
        <v>505.3499403</v>
      </c>
      <c r="O66" s="324">
        <f t="shared" ref="O66:O67" si="38">N66/B66</f>
        <v>0.8471607257</v>
      </c>
      <c r="P66" s="387" t="str">
        <f t="shared" ref="P66:P67" si="39">if(O66&lt;=1,"OK","NG")</f>
        <v>OK</v>
      </c>
      <c r="Q66" s="388"/>
      <c r="R66" s="328"/>
      <c r="S66" s="142">
        <f>R19/R68</f>
        <v>1</v>
      </c>
      <c r="T66" s="385">
        <f t="shared" ref="T66:T67" si="40">$Q$68*$S66*$T$64*$Q$97</f>
        <v>70.02604602</v>
      </c>
      <c r="U66" s="385">
        <f>IF('WAP for Y-AXIS Walls'!L25=0,0,T66/('WAP for Y-AXIS Walls'!L25*'WAP for Y-AXIS Walls'!$I$58))</f>
        <v>261.6644286</v>
      </c>
      <c r="V66" s="324">
        <f t="shared" ref="V66:V67" si="41">U66/B66</f>
        <v>0.4386501503</v>
      </c>
      <c r="W66" s="386" t="str">
        <f t="shared" ref="W66:W67" si="42">if(V66&lt;=1,"OK","NG")</f>
        <v>OK</v>
      </c>
      <c r="X66" s="387"/>
      <c r="Y66" s="333">
        <f>max(F66,M66)</f>
        <v>135.2406147</v>
      </c>
      <c r="Z66" s="334">
        <f>AC19</f>
        <v>11.26062061</v>
      </c>
      <c r="AA66" s="389" t="s">
        <v>448</v>
      </c>
      <c r="AB66" s="333">
        <f>12.5^2*pi()/4*2</f>
        <v>245.4369261</v>
      </c>
      <c r="AC66" s="26">
        <v>240.0</v>
      </c>
      <c r="AD66" s="374">
        <f>2.9-1.25</f>
        <v>1.65</v>
      </c>
      <c r="AE66" s="26">
        <v>420.0</v>
      </c>
      <c r="AF66" s="334">
        <f>0.8*0.5*AB66/1000/AD66*AE66*'WAP for Y-AXIS Walls'!D25</f>
        <v>47.48088897</v>
      </c>
      <c r="AG66" s="333">
        <f>'WAP for Y-AXIS Walls'!L25*'WAP for Y-AXIS Walls'!$I$63*'WAP for Y-AXIS Walls'!$I$58</f>
        <v>105.052483</v>
      </c>
      <c r="AH66" s="333">
        <f>'WAP for Y-AXIS Walls'!$I$63*'WAP for Y-AXIS Walls'!$I$57*'WAP for Y-AXIS Walls'!$I$56</f>
        <v>596.5219172</v>
      </c>
      <c r="AI66" s="333">
        <f>'WAP for Y-AXIS Walls'!L25*AH66*'WAP for Y-AXIS Walls'!$I$58</f>
        <v>159.6398542</v>
      </c>
      <c r="AJ66" s="333">
        <f>AG66+AF66+Z66</f>
        <v>163.7939925</v>
      </c>
      <c r="AK66" s="390">
        <f>Y66/AI66</f>
        <v>0.8471607257</v>
      </c>
      <c r="AL66" s="390">
        <f>Y66/AJ66</f>
        <v>0.8256750605</v>
      </c>
      <c r="AM66" s="390">
        <f>AF66/AG66</f>
        <v>0.4519730294</v>
      </c>
      <c r="AN66" s="390">
        <f>Z66/AG66</f>
        <v>0.107190428</v>
      </c>
    </row>
    <row r="67">
      <c r="B67" s="382">
        <f>'WAP for Y-AXIS Walls'!$I$63*'WAP for Y-AXIS Walls'!$I$56*'WAP for Y-AXIS Walls'!$I$57</f>
        <v>596.5219172</v>
      </c>
      <c r="C67" s="383">
        <f t="shared" si="28"/>
        <v>0.8424549949</v>
      </c>
      <c r="D67" s="328">
        <f t="shared" si="29"/>
        <v>3.291053395</v>
      </c>
      <c r="E67" s="384">
        <f t="shared" si="30"/>
        <v>0.001134845998</v>
      </c>
      <c r="F67" s="385">
        <f t="shared" si="31"/>
        <v>0</v>
      </c>
      <c r="G67" s="385">
        <f>IF('WAP for Y-AXIS Walls'!L26=0,0,F67/('WAP for Y-AXIS Walls'!L26*'WAP for Y-AXIS Walls'!$I$58))</f>
        <v>0</v>
      </c>
      <c r="H67" s="324">
        <f t="shared" si="32"/>
        <v>0</v>
      </c>
      <c r="I67" s="386" t="str">
        <f t="shared" si="33"/>
        <v>OK</v>
      </c>
      <c r="J67" s="328">
        <f t="shared" si="34"/>
        <v>2.381022975</v>
      </c>
      <c r="K67" s="328">
        <f t="shared" si="35"/>
        <v>4.829621375</v>
      </c>
      <c r="L67" s="384">
        <f t="shared" si="36"/>
        <v>0.001665386681</v>
      </c>
      <c r="M67" s="385">
        <f t="shared" si="37"/>
        <v>0</v>
      </c>
      <c r="N67" s="385">
        <f>IF('WAP for Y-AXIS Walls'!L26=0,0,M67/('WAP for Y-AXIS Walls'!L26*'WAP for Y-AXIS Walls'!$I$58))</f>
        <v>0</v>
      </c>
      <c r="O67" s="324">
        <f t="shared" si="38"/>
        <v>0</v>
      </c>
      <c r="P67" s="387" t="str">
        <f t="shared" si="39"/>
        <v>OK</v>
      </c>
      <c r="Q67" s="388"/>
      <c r="R67" s="328"/>
      <c r="S67" s="142">
        <f>R20/R68</f>
        <v>0</v>
      </c>
      <c r="T67" s="385">
        <f t="shared" si="40"/>
        <v>0</v>
      </c>
      <c r="U67" s="385">
        <f>IF('WAP for Y-AXIS Walls'!L26=0,0,T67/('WAP for Y-AXIS Walls'!L26*'WAP for Y-AXIS Walls'!$I$58))</f>
        <v>0</v>
      </c>
      <c r="V67" s="324">
        <f t="shared" si="41"/>
        <v>0</v>
      </c>
      <c r="W67" s="386" t="str">
        <f t="shared" si="42"/>
        <v>OK</v>
      </c>
      <c r="X67" s="387"/>
    </row>
    <row r="68">
      <c r="B68" s="382"/>
      <c r="C68" s="383"/>
      <c r="D68" s="328"/>
      <c r="E68" s="384"/>
      <c r="F68" s="385"/>
      <c r="G68" s="385"/>
      <c r="H68" s="324"/>
      <c r="I68" s="145"/>
      <c r="J68" s="328"/>
      <c r="K68" s="328"/>
      <c r="L68" s="384"/>
      <c r="M68" s="385"/>
      <c r="N68" s="385"/>
      <c r="O68" s="324"/>
      <c r="P68" s="82"/>
      <c r="Q68" s="391">
        <f>'WAP for Y-AXIS Walls'!O27/'WAP for Y-AXIS Walls'!$O$38</f>
        <v>0.1301369863</v>
      </c>
      <c r="R68" s="385">
        <f>sum(R19:R20)</f>
        <v>28002.32237</v>
      </c>
      <c r="S68" s="143"/>
      <c r="T68" s="385"/>
      <c r="U68" s="385"/>
      <c r="V68" s="324"/>
      <c r="W68" s="145"/>
      <c r="X68" s="82"/>
    </row>
    <row r="69">
      <c r="B69" s="382">
        <f>'WAP for Y-AXIS Walls'!$I$63*'WAP for Y-AXIS Walls'!$I$56*'WAP for Y-AXIS Walls'!$I$57</f>
        <v>596.5219172</v>
      </c>
      <c r="C69" s="383">
        <f>T22*$G$99*1000</f>
        <v>0.5105111654</v>
      </c>
      <c r="D69" s="328">
        <f>C69+$G$42</f>
        <v>2.959109566</v>
      </c>
      <c r="E69" s="384">
        <f>D69/G22/1000</f>
        <v>0.001020382609</v>
      </c>
      <c r="F69" s="385">
        <f>R22*D69/1000*$F$64</f>
        <v>103.2169992</v>
      </c>
      <c r="G69" s="385">
        <f>IF('WAP for Y-AXIS Walls'!L28=0,0,F69/('WAP for Y-AXIS Walls'!L28*'WAP for Y-AXIS Walls'!$I$58))</f>
        <v>431.4536979</v>
      </c>
      <c r="H69" s="324">
        <f>G69/B69</f>
        <v>0.7232822222</v>
      </c>
      <c r="I69" s="386" t="str">
        <f>if(H69&lt;=1,"OK","NG")</f>
        <v>OK</v>
      </c>
      <c r="J69" s="328">
        <f>T22*$Q$99*1000</f>
        <v>1.442853115</v>
      </c>
      <c r="K69" s="328">
        <f>J69+$G$42</f>
        <v>3.891451516</v>
      </c>
      <c r="L69" s="384">
        <f>K69/G22/1000</f>
        <v>0.001341879833</v>
      </c>
      <c r="M69" s="385">
        <f>R22*K69/1000*$M$64</f>
        <v>135.7381128</v>
      </c>
      <c r="N69" s="385">
        <f>IF('WAP for Y-AXIS Walls'!L28=0,0,M69/('WAP for Y-AXIS Walls'!L28*'WAP for Y-AXIS Walls'!$I$58))</f>
        <v>567.3940452</v>
      </c>
      <c r="O69" s="324">
        <f>N69/B69</f>
        <v>0.9511704915</v>
      </c>
      <c r="P69" s="387" t="str">
        <f>if(O69&lt;=1,"OK","NG")</f>
        <v>OK</v>
      </c>
      <c r="Q69" s="391"/>
      <c r="R69" s="385"/>
      <c r="S69" s="142">
        <f>R22/R70</f>
        <v>1</v>
      </c>
      <c r="T69" s="385">
        <f>$Q$70*$S69*$T$64*$Q$97</f>
        <v>132.6809293</v>
      </c>
      <c r="U69" s="385">
        <f>IF('WAP for Y-AXIS Walls'!L28=0,0,T69/('WAP for Y-AXIS Walls'!L28*'WAP for Y-AXIS Walls'!$I$58))</f>
        <v>554.6148216</v>
      </c>
      <c r="V69" s="324">
        <f>U69/B69</f>
        <v>0.9297476012</v>
      </c>
      <c r="W69" s="386" t="str">
        <f>if(V69&lt;=1,"OK","NG")</f>
        <v>OK</v>
      </c>
      <c r="X69" s="387"/>
      <c r="Y69" s="333">
        <f>max(F69,M69)</f>
        <v>135.7381128</v>
      </c>
      <c r="Z69" s="334">
        <f>AC22</f>
        <v>21.33591273</v>
      </c>
      <c r="AA69" s="389" t="s">
        <v>448</v>
      </c>
      <c r="AB69" s="333">
        <f>12.5^2*pi()/4*2</f>
        <v>245.4369261</v>
      </c>
      <c r="AC69" s="26">
        <v>240.0</v>
      </c>
      <c r="AD69" s="374">
        <f>2.9-1.25</f>
        <v>1.65</v>
      </c>
      <c r="AE69" s="26">
        <v>420.0</v>
      </c>
      <c r="AF69" s="334">
        <f>0.8*0.5*AB69/1000/AD69*AE69*'WAP for Y-AXIS Walls'!D28</f>
        <v>59.97585975</v>
      </c>
      <c r="AG69" s="333">
        <f>'WAP for Y-AXIS Walls'!L28*'WAP for Y-AXIS Walls'!$I$63*'WAP for Y-AXIS Walls'!$I$58</f>
        <v>93.90926412</v>
      </c>
      <c r="AH69" s="333">
        <f>'WAP for Y-AXIS Walls'!$I$63*'WAP for Y-AXIS Walls'!$I$57*'WAP for Y-AXIS Walls'!$I$56</f>
        <v>596.5219172</v>
      </c>
      <c r="AI69" s="333">
        <f>'WAP for Y-AXIS Walls'!L28*AH69*'WAP for Y-AXIS Walls'!$I$58</f>
        <v>142.7063959</v>
      </c>
      <c r="AJ69" s="333">
        <f>AG69+AF69+Z69</f>
        <v>175.2210366</v>
      </c>
      <c r="AK69" s="390">
        <f>Y69/AI69</f>
        <v>0.9511704915</v>
      </c>
      <c r="AL69" s="390">
        <f>Y69/AJ69</f>
        <v>0.7746679017</v>
      </c>
      <c r="AM69" s="390">
        <f>AF69/AG69</f>
        <v>0.6386575416</v>
      </c>
      <c r="AN69" s="390">
        <f>Z69/AG69</f>
        <v>0.2271971028</v>
      </c>
    </row>
    <row r="70">
      <c r="B70" s="382"/>
      <c r="C70" s="383"/>
      <c r="D70" s="328"/>
      <c r="E70" s="384"/>
      <c r="F70" s="385"/>
      <c r="G70" s="385"/>
      <c r="H70" s="324"/>
      <c r="I70" s="145"/>
      <c r="J70" s="328"/>
      <c r="K70" s="328"/>
      <c r="L70" s="384"/>
      <c r="M70" s="385"/>
      <c r="N70" s="385"/>
      <c r="O70" s="324"/>
      <c r="P70" s="82"/>
      <c r="Q70" s="391">
        <f>'WAP for Y-AXIS Walls'!O29/'WAP for Y-AXIS Walls'!$O$38</f>
        <v>0.2465753425</v>
      </c>
      <c r="R70" s="385">
        <f>R22</f>
        <v>34881.10085</v>
      </c>
      <c r="S70" s="143"/>
      <c r="T70" s="385"/>
      <c r="U70" s="385"/>
      <c r="V70" s="324"/>
      <c r="W70" s="145"/>
      <c r="X70" s="82"/>
    </row>
    <row r="71">
      <c r="B71" s="382">
        <f>'WAP for Y-AXIS Walls'!$I$63*'WAP for Y-AXIS Walls'!$I$56*'WAP for Y-AXIS Walls'!$I$57</f>
        <v>596.5219172</v>
      </c>
      <c r="C71" s="383">
        <f>T24*$G$99*1000</f>
        <v>0.178567336</v>
      </c>
      <c r="D71" s="328">
        <f>C71+$G$42</f>
        <v>2.627165736</v>
      </c>
      <c r="E71" s="384">
        <f>D71/G24/1000</f>
        <v>0.0009059192193</v>
      </c>
      <c r="F71" s="385">
        <f>R24*D71/1000*$F$64</f>
        <v>91.63843299</v>
      </c>
      <c r="G71" s="385">
        <f>IF('WAP for Y-AXIS Walls'!L30=0,0,F71/('WAP for Y-AXIS Walls'!L30*'WAP for Y-AXIS Walls'!$I$58))</f>
        <v>383.0545462</v>
      </c>
      <c r="H71" s="324">
        <f>G71/B71</f>
        <v>0.6421466423</v>
      </c>
      <c r="I71" s="386" t="str">
        <f>if(H71&lt;=1,"OK","NG")</f>
        <v>OK</v>
      </c>
      <c r="J71" s="328">
        <f>T24*$Q$99*1000</f>
        <v>0.5046832556</v>
      </c>
      <c r="K71" s="328">
        <f>J71+$G$42</f>
        <v>2.953281656</v>
      </c>
      <c r="L71" s="384">
        <f>K71/G24/1000</f>
        <v>0.001018372985</v>
      </c>
      <c r="M71" s="385">
        <f>R24*K71/1000*$M$64</f>
        <v>103.0137153</v>
      </c>
      <c r="N71" s="385">
        <f>IF('WAP for Y-AXIS Walls'!L30=0,0,M71/('WAP for Y-AXIS Walls'!L30*'WAP for Y-AXIS Walls'!$I$58))</f>
        <v>430.6039581</v>
      </c>
      <c r="O71" s="324">
        <f>N71/B71</f>
        <v>0.7218577317</v>
      </c>
      <c r="P71" s="387" t="str">
        <f>if(O71&lt;=1,"OK","NG")</f>
        <v>OK</v>
      </c>
      <c r="Q71" s="391"/>
      <c r="R71" s="385"/>
      <c r="S71" s="142">
        <f>R24/R72</f>
        <v>1</v>
      </c>
      <c r="T71" s="385">
        <f>$Q$72*$S71*$T$64*$Q$97</f>
        <v>132.6809293</v>
      </c>
      <c r="U71" s="385">
        <f>IF('WAP for Y-AXIS Walls'!L30=0,0,T71/('WAP for Y-AXIS Walls'!L30*'WAP for Y-AXIS Walls'!$I$58))</f>
        <v>554.6148216</v>
      </c>
      <c r="V71" s="324">
        <f>U71/B71</f>
        <v>0.9297476012</v>
      </c>
      <c r="W71" s="386" t="str">
        <f>if(V71&lt;=1,"OK","NG")</f>
        <v>OK</v>
      </c>
      <c r="X71" s="387"/>
      <c r="Y71" s="333">
        <f>max(F71,M71)</f>
        <v>103.0137153</v>
      </c>
      <c r="Z71" s="334">
        <f>AC24</f>
        <v>21.33591273</v>
      </c>
      <c r="AA71" s="389" t="s">
        <v>448</v>
      </c>
      <c r="AB71" s="333">
        <f>12.5^2*pi()/4*2</f>
        <v>245.4369261</v>
      </c>
      <c r="AC71" s="26">
        <v>240.0</v>
      </c>
      <c r="AD71" s="374">
        <f>2.9-1.25</f>
        <v>1.65</v>
      </c>
      <c r="AE71" s="26">
        <v>420.0</v>
      </c>
      <c r="AF71" s="334">
        <f>0.8*0.5*AB71/1000/AD71*AE71*'WAP for Y-AXIS Walls'!D30</f>
        <v>59.97585975</v>
      </c>
      <c r="AG71" s="333">
        <f>'WAP for Y-AXIS Walls'!L30*'WAP for Y-AXIS Walls'!$I$63*'WAP for Y-AXIS Walls'!$I$58</f>
        <v>93.90926412</v>
      </c>
      <c r="AH71" s="333">
        <f>'WAP for Y-AXIS Walls'!$I$63*'WAP for Y-AXIS Walls'!$I$57*'WAP for Y-AXIS Walls'!$I$56</f>
        <v>596.5219172</v>
      </c>
      <c r="AI71" s="333">
        <f>'WAP for Y-AXIS Walls'!L30*AH71*'WAP for Y-AXIS Walls'!$I$58</f>
        <v>142.7063959</v>
      </c>
      <c r="AJ71" s="333">
        <f>AG71+AF71+Z71</f>
        <v>175.2210366</v>
      </c>
      <c r="AK71" s="390">
        <f>Y71/AI71</f>
        <v>0.7218577317</v>
      </c>
      <c r="AL71" s="390">
        <f>Y71/AJ71</f>
        <v>0.5879072357</v>
      </c>
      <c r="AM71" s="390">
        <f>AF71/AG71</f>
        <v>0.6386575416</v>
      </c>
      <c r="AN71" s="390">
        <f>Z71/AG71</f>
        <v>0.2271971028</v>
      </c>
    </row>
    <row r="72">
      <c r="B72" s="382"/>
      <c r="C72" s="383"/>
      <c r="D72" s="328"/>
      <c r="E72" s="384"/>
      <c r="F72" s="385"/>
      <c r="G72" s="385"/>
      <c r="H72" s="324"/>
      <c r="I72" s="145"/>
      <c r="J72" s="328"/>
      <c r="K72" s="328"/>
      <c r="L72" s="384"/>
      <c r="M72" s="385"/>
      <c r="N72" s="385"/>
      <c r="O72" s="324"/>
      <c r="P72" s="82"/>
      <c r="Q72" s="391">
        <f>'WAP for Y-AXIS Walls'!O31/'WAP for Y-AXIS Walls'!$O$38</f>
        <v>0.2465753425</v>
      </c>
      <c r="R72" s="385">
        <f>R24</f>
        <v>34881.10085</v>
      </c>
      <c r="S72" s="143"/>
      <c r="T72" s="385"/>
      <c r="U72" s="385"/>
      <c r="V72" s="324"/>
      <c r="W72" s="145"/>
      <c r="X72" s="82"/>
    </row>
    <row r="73">
      <c r="B73" s="382">
        <f>'WAP for Y-AXIS Walls'!$I$63*'WAP for Y-AXIS Walls'!$I$56*'WAP for Y-AXIS Walls'!$I$57</f>
        <v>596.5219172</v>
      </c>
      <c r="C73" s="383">
        <f>T26*$G$99*1000</f>
        <v>-0.1533764935</v>
      </c>
      <c r="D73" s="328">
        <f>C73+$G$42</f>
        <v>2.295221907</v>
      </c>
      <c r="E73" s="384">
        <f>D73/G26/1000</f>
        <v>0.0007914558299</v>
      </c>
      <c r="F73" s="385">
        <f>R26*D73/1000*$F$64</f>
        <v>80.05986679</v>
      </c>
      <c r="G73" s="385">
        <f>IF('WAP for Y-AXIS Walls'!L32=0,0,F73/('WAP for Y-AXIS Walls'!L32*'WAP for Y-AXIS Walls'!$I$58))</f>
        <v>334.6553945</v>
      </c>
      <c r="H73" s="324">
        <f>G73/B73</f>
        <v>0.5610110624</v>
      </c>
      <c r="I73" s="386" t="str">
        <f>if(H73&lt;=1,"OK","NG")</f>
        <v>OK</v>
      </c>
      <c r="J73" s="328">
        <f>T26*$Q$99*1000</f>
        <v>-0.4334866042</v>
      </c>
      <c r="K73" s="328">
        <f>J73+$G$42</f>
        <v>2.015111796</v>
      </c>
      <c r="L73" s="384">
        <f>K73/G26/1000</f>
        <v>0.0006948661365</v>
      </c>
      <c r="M73" s="385">
        <f>R26*K73/1000*$M$64</f>
        <v>70.28931777</v>
      </c>
      <c r="N73" s="385">
        <f>IF('WAP for Y-AXIS Walls'!L32=0,0,M73/('WAP for Y-AXIS Walls'!L32*'WAP for Y-AXIS Walls'!$I$58))</f>
        <v>293.8138709</v>
      </c>
      <c r="O73" s="324">
        <f>N73/B73</f>
        <v>0.4925449719</v>
      </c>
      <c r="P73" s="387" t="str">
        <f>if(O73&lt;=1,"OK","NG")</f>
        <v>OK</v>
      </c>
      <c r="Q73" s="391"/>
      <c r="R73" s="385"/>
      <c r="S73" s="142">
        <f>R26/R74</f>
        <v>1</v>
      </c>
      <c r="T73" s="385">
        <f>$Q$74*$S73*$T$64*$Q$97</f>
        <v>132.6809293</v>
      </c>
      <c r="U73" s="385">
        <f>IF('WAP for Y-AXIS Walls'!L32=0,0,T73/('WAP for Y-AXIS Walls'!L32*'WAP for Y-AXIS Walls'!$I$58))</f>
        <v>554.6148216</v>
      </c>
      <c r="V73" s="324">
        <f>U73/B73</f>
        <v>0.9297476012</v>
      </c>
      <c r="W73" s="386" t="str">
        <f>if(V73&lt;=1,"OK","NG")</f>
        <v>OK</v>
      </c>
      <c r="X73" s="387"/>
      <c r="Y73" s="333">
        <f>max(F73,M73)</f>
        <v>80.05986679</v>
      </c>
      <c r="Z73" s="334">
        <f>AC26</f>
        <v>21.33591273</v>
      </c>
      <c r="AA73" s="389" t="s">
        <v>448</v>
      </c>
      <c r="AB73" s="333">
        <f>12.5^2*pi()/4*2</f>
        <v>245.4369261</v>
      </c>
      <c r="AC73" s="26">
        <v>240.0</v>
      </c>
      <c r="AD73" s="374">
        <f>2.9-1.25</f>
        <v>1.65</v>
      </c>
      <c r="AE73" s="26">
        <v>420.0</v>
      </c>
      <c r="AF73" s="334">
        <f>0.8*0.5*AB73/1000/AD73*AE73*'WAP for Y-AXIS Walls'!D32</f>
        <v>59.97585975</v>
      </c>
      <c r="AG73" s="333">
        <f>'WAP for Y-AXIS Walls'!L32*'WAP for Y-AXIS Walls'!$I$63*'WAP for Y-AXIS Walls'!$I$58</f>
        <v>93.90926412</v>
      </c>
      <c r="AH73" s="333">
        <f>'WAP for Y-AXIS Walls'!$I$63*'WAP for Y-AXIS Walls'!$I$57*'WAP for Y-AXIS Walls'!$I$56</f>
        <v>596.5219172</v>
      </c>
      <c r="AI73" s="333">
        <f>'WAP for Y-AXIS Walls'!L32*AH73*'WAP for Y-AXIS Walls'!$I$58</f>
        <v>142.7063959</v>
      </c>
      <c r="AJ73" s="333">
        <f>AG73+AF73+Z73</f>
        <v>175.2210366</v>
      </c>
      <c r="AK73" s="390">
        <f>Y73/AI73</f>
        <v>0.5610110624</v>
      </c>
      <c r="AL73" s="390">
        <f>Y73/AJ73</f>
        <v>0.4569078482</v>
      </c>
      <c r="AM73" s="390">
        <f>AF73/AG73</f>
        <v>0.6386575416</v>
      </c>
      <c r="AN73" s="390">
        <f>Z73/AG73</f>
        <v>0.2271971028</v>
      </c>
    </row>
    <row r="74">
      <c r="B74" s="382"/>
      <c r="C74" s="383"/>
      <c r="D74" s="328"/>
      <c r="E74" s="384"/>
      <c r="F74" s="385"/>
      <c r="G74" s="385"/>
      <c r="H74" s="324"/>
      <c r="I74" s="145"/>
      <c r="J74" s="328"/>
      <c r="K74" s="328"/>
      <c r="L74" s="384"/>
      <c r="M74" s="385"/>
      <c r="N74" s="385"/>
      <c r="O74" s="324"/>
      <c r="P74" s="82"/>
      <c r="Q74" s="391">
        <f>'WAP for Y-AXIS Walls'!O33/'WAP for Y-AXIS Walls'!$O$38</f>
        <v>0.2465753425</v>
      </c>
      <c r="R74" s="385">
        <f>R26</f>
        <v>34881.10085</v>
      </c>
      <c r="S74" s="143"/>
      <c r="T74" s="385"/>
      <c r="U74" s="385"/>
      <c r="V74" s="324"/>
      <c r="W74" s="145"/>
      <c r="X74" s="82"/>
    </row>
    <row r="75">
      <c r="B75" s="382">
        <f>'WAP for Y-AXIS Walls'!$I$63*'WAP for Y-AXIS Walls'!$I$56*'WAP for Y-AXIS Walls'!$I$57</f>
        <v>596.5219172</v>
      </c>
      <c r="C75" s="383">
        <f t="shared" ref="C75:C76" si="43">T28*$G$99*1000</f>
        <v>-0.485320323</v>
      </c>
      <c r="D75" s="328">
        <f t="shared" ref="D75:D76" si="44">C75+$G$42</f>
        <v>1.963278077</v>
      </c>
      <c r="E75" s="384">
        <f t="shared" ref="E75:E76" si="45">D75/G28/1000</f>
        <v>0.0006769924404</v>
      </c>
      <c r="F75" s="385">
        <f t="shared" ref="F75:F76" si="46">R28*D75/1000*$F$64</f>
        <v>171.0224429</v>
      </c>
      <c r="G75" s="385">
        <f>IF('WAP for Y-AXIS Walls'!L34=0,0,F75/('WAP for Y-AXIS Walls'!L34*'WAP for Y-AXIS Walls'!$I$58))</f>
        <v>463.7090694</v>
      </c>
      <c r="H75" s="324">
        <f t="shared" ref="H75:H76" si="47">G75/B75</f>
        <v>0.7773546219</v>
      </c>
      <c r="I75" s="386" t="str">
        <f t="shared" ref="I75:I76" si="48">if(H75&lt;=1,"OK","NG")</f>
        <v>OK</v>
      </c>
      <c r="J75" s="328">
        <f t="shared" ref="J75:J76" si="49">T28*$Q$99*1000</f>
        <v>-1.371656464</v>
      </c>
      <c r="K75" s="328">
        <f t="shared" ref="K75:K76" si="50">J75+$G$42</f>
        <v>1.076941936</v>
      </c>
      <c r="L75" s="384">
        <f t="shared" ref="L75:L76" si="51">K75/G28/1000</f>
        <v>0.0003713592883</v>
      </c>
      <c r="M75" s="385">
        <f t="shared" ref="M75:M76" si="52">R28*K75/1000*$M$64</f>
        <v>93.81311943</v>
      </c>
      <c r="N75" s="385">
        <f>IF('WAP for Y-AXIS Walls'!L34=0,0,M75/('WAP for Y-AXIS Walls'!L34*'WAP for Y-AXIS Walls'!$I$58))</f>
        <v>254.3642436</v>
      </c>
      <c r="O75" s="324">
        <f t="shared" ref="O75:O76" si="53">N75/B75</f>
        <v>0.4264122343</v>
      </c>
      <c r="P75" s="387" t="str">
        <f t="shared" ref="P75:P76" si="54">if(O75&lt;=1,"OK","NG")</f>
        <v>OK</v>
      </c>
      <c r="Q75" s="391"/>
      <c r="R75" s="385"/>
      <c r="S75" s="142">
        <f>R28/R77</f>
        <v>1</v>
      </c>
      <c r="T75" s="385">
        <f t="shared" ref="T75:T76" si="55">$Q$77*$S75*$T$64*$Q$97</f>
        <v>70.02604602</v>
      </c>
      <c r="U75" s="385">
        <f>IF('WAP for Y-AXIS Walls'!L34=0,0,T75/('WAP for Y-AXIS Walls'!L34*'WAP for Y-AXIS Walls'!$I$58))</f>
        <v>189.8681371</v>
      </c>
      <c r="V75" s="324">
        <f t="shared" ref="V75:V76" si="56">U75/B75</f>
        <v>0.3182919716</v>
      </c>
      <c r="W75" s="386" t="str">
        <f t="shared" ref="W75:W76" si="57">if(V75&lt;=1,"OK","NG")</f>
        <v>OK</v>
      </c>
      <c r="X75" s="387"/>
      <c r="Y75" s="333">
        <f>max(F75,M75)</f>
        <v>171.0224429</v>
      </c>
      <c r="Z75" s="334">
        <f>AC28</f>
        <v>11.26062061</v>
      </c>
      <c r="AA75" s="389" t="s">
        <v>448</v>
      </c>
      <c r="AB75" s="333">
        <f>12.5^2*pi()/4*2</f>
        <v>245.4369261</v>
      </c>
      <c r="AC75" s="26">
        <v>240.0</v>
      </c>
      <c r="AD75" s="374">
        <f>2.9-1.25</f>
        <v>1.65</v>
      </c>
      <c r="AE75" s="26">
        <v>420.0</v>
      </c>
      <c r="AF75" s="334">
        <f>0.8*0.5*AB75/1000/AD75*AE75*'WAP for Y-AXIS Walls'!D34</f>
        <v>92.46278378</v>
      </c>
      <c r="AG75" s="333">
        <f>'WAP for Y-AXIS Walls'!L34*'WAP for Y-AXIS Walls'!$I$63*'WAP for Y-AXIS Walls'!$I$58</f>
        <v>144.7767822</v>
      </c>
      <c r="AH75" s="333">
        <f>'WAP for Y-AXIS Walls'!$I$63*'WAP for Y-AXIS Walls'!$I$57*'WAP for Y-AXIS Walls'!$I$56</f>
        <v>596.5219172</v>
      </c>
      <c r="AI75" s="333">
        <f>'WAP for Y-AXIS Walls'!L34*AH75*'WAP for Y-AXIS Walls'!$I$58</f>
        <v>220.0056937</v>
      </c>
      <c r="AJ75" s="333">
        <f>AG75+AF75+Z75</f>
        <v>248.5001866</v>
      </c>
      <c r="AK75" s="390">
        <f>Y75/AI75</f>
        <v>0.7773546219</v>
      </c>
      <c r="AL75" s="390">
        <f>Y75/AJ75</f>
        <v>0.6882185693</v>
      </c>
      <c r="AM75" s="390">
        <f>AF75/AG75</f>
        <v>0.6386575416</v>
      </c>
      <c r="AN75" s="390">
        <f>Z75/AG75</f>
        <v>0.07777918833</v>
      </c>
    </row>
    <row r="76">
      <c r="B76" s="382">
        <f>'WAP for Y-AXIS Walls'!$I$63*'WAP for Y-AXIS Walls'!$I$56*'WAP for Y-AXIS Walls'!$I$57</f>
        <v>596.5219172</v>
      </c>
      <c r="C76" s="383">
        <f t="shared" si="43"/>
        <v>-0.485320323</v>
      </c>
      <c r="D76" s="328">
        <f t="shared" si="44"/>
        <v>1.963278077</v>
      </c>
      <c r="E76" s="384">
        <f t="shared" si="45"/>
        <v>0.0006769924404</v>
      </c>
      <c r="F76" s="385">
        <f t="shared" si="46"/>
        <v>0</v>
      </c>
      <c r="G76" s="385">
        <f>IF('WAP for Y-AXIS Walls'!L35=0,0,F76/('WAP for Y-AXIS Walls'!L35*'WAP for Y-AXIS Walls'!$I$58))</f>
        <v>0</v>
      </c>
      <c r="H76" s="324">
        <f t="shared" si="47"/>
        <v>0</v>
      </c>
      <c r="I76" s="386" t="str">
        <f t="shared" si="48"/>
        <v>OK</v>
      </c>
      <c r="J76" s="328">
        <f t="shared" si="49"/>
        <v>-1.371656464</v>
      </c>
      <c r="K76" s="328">
        <f t="shared" si="50"/>
        <v>1.076941936</v>
      </c>
      <c r="L76" s="384">
        <f t="shared" si="51"/>
        <v>0.0003713592883</v>
      </c>
      <c r="M76" s="385">
        <f t="shared" si="52"/>
        <v>0</v>
      </c>
      <c r="N76" s="385">
        <f>IF('WAP for Y-AXIS Walls'!L35=0,0,M76/('WAP for Y-AXIS Walls'!L35*'WAP for Y-AXIS Walls'!$I$58))</f>
        <v>0</v>
      </c>
      <c r="O76" s="324">
        <f t="shared" si="53"/>
        <v>0</v>
      </c>
      <c r="P76" s="387" t="str">
        <f t="shared" si="54"/>
        <v>OK</v>
      </c>
      <c r="Q76" s="391"/>
      <c r="R76" s="385"/>
      <c r="S76" s="142">
        <f>R29/R77</f>
        <v>0</v>
      </c>
      <c r="T76" s="385">
        <f t="shared" si="55"/>
        <v>0</v>
      </c>
      <c r="U76" s="385">
        <f>IF('WAP for Y-AXIS Walls'!L35=0,0,T76/('WAP for Y-AXIS Walls'!L35*'WAP for Y-AXIS Walls'!$I$58))</f>
        <v>0</v>
      </c>
      <c r="V76" s="324">
        <f t="shared" si="56"/>
        <v>0</v>
      </c>
      <c r="W76" s="386" t="str">
        <f t="shared" si="57"/>
        <v>OK</v>
      </c>
      <c r="X76" s="387"/>
    </row>
    <row r="77">
      <c r="B77" s="392"/>
      <c r="C77" s="383"/>
      <c r="D77" s="328"/>
      <c r="E77" s="82"/>
      <c r="F77" s="393"/>
      <c r="G77" s="82"/>
      <c r="H77" s="82"/>
      <c r="I77" s="145"/>
      <c r="J77" s="328"/>
      <c r="K77" s="82"/>
      <c r="L77" s="82"/>
      <c r="M77" s="393"/>
      <c r="N77" s="82"/>
      <c r="O77" s="82"/>
      <c r="P77" s="82"/>
      <c r="Q77" s="391">
        <f>'WAP for Y-AXIS Walls'!O36/'WAP for Y-AXIS Walls'!$O$38</f>
        <v>0.1301369863</v>
      </c>
      <c r="R77" s="385">
        <f>sum(R28:R29)</f>
        <v>87110.65684</v>
      </c>
      <c r="S77" s="143"/>
      <c r="T77" s="393"/>
      <c r="U77" s="82"/>
      <c r="V77" s="82"/>
      <c r="W77" s="145"/>
      <c r="X77" s="82"/>
    </row>
    <row r="78">
      <c r="B78" s="392"/>
      <c r="C78" s="345"/>
      <c r="D78" s="127"/>
      <c r="E78" s="127"/>
      <c r="F78" s="394"/>
      <c r="G78" s="127"/>
      <c r="H78" s="127"/>
      <c r="I78" s="128"/>
      <c r="J78" s="347"/>
      <c r="K78" s="347"/>
      <c r="L78" s="127"/>
      <c r="M78" s="394"/>
      <c r="N78" s="347"/>
      <c r="O78" s="127"/>
      <c r="P78" s="127"/>
      <c r="Q78" s="395"/>
      <c r="R78" s="127"/>
      <c r="S78" s="170"/>
      <c r="T78" s="394"/>
      <c r="U78" s="127"/>
      <c r="V78" s="127"/>
      <c r="W78" s="128"/>
      <c r="X78" s="82"/>
    </row>
    <row r="79">
      <c r="B79" s="396"/>
      <c r="C79" s="397"/>
      <c r="D79" s="163">
        <f>(min(D66:D78)+max(D66:D78))/2</f>
        <v>2.627165736</v>
      </c>
      <c r="E79" s="315" t="s">
        <v>449</v>
      </c>
      <c r="F79" s="394">
        <f>sum(F66:F78)</f>
        <v>538.0948799</v>
      </c>
      <c r="G79" s="394">
        <f>F79/'WAP for Y-AXIS Walls'!L38/'WAP for Y-AXIS Walls'!I58</f>
        <v>397.3748484</v>
      </c>
      <c r="H79" s="347">
        <f>G79/G80</f>
        <v>0.999229459</v>
      </c>
      <c r="I79" s="128" t="str">
        <f>if(H79&lt;=1,"OK","NG")</f>
        <v>OK</v>
      </c>
      <c r="J79" s="398"/>
      <c r="K79" s="163">
        <f>(min(K66:K78)+max(K66:K78))/2</f>
        <v>2.953281656</v>
      </c>
      <c r="L79" s="399" t="s">
        <v>449</v>
      </c>
      <c r="M79" s="394">
        <f>sum(M66:M78)</f>
        <v>538.0948799</v>
      </c>
      <c r="N79" s="394">
        <f>M79/'WAP for Y-AXIS Walls'!L38/'WAP for Y-AXIS Walls'!I58</f>
        <v>397.3748484</v>
      </c>
      <c r="O79" s="347">
        <f>N79/N80</f>
        <v>0.999229459</v>
      </c>
      <c r="P79" s="127" t="str">
        <f>if(O79&lt;=1,"OK","NG")</f>
        <v>OK</v>
      </c>
      <c r="Q79" s="400">
        <f t="shared" ref="Q79:R79" si="58">sum(Q66:Q78)</f>
        <v>1</v>
      </c>
      <c r="R79" s="401">
        <f t="shared" si="58"/>
        <v>219756.2818</v>
      </c>
      <c r="S79" s="402"/>
      <c r="T79" s="394">
        <f>sum(T66:T78)</f>
        <v>538.0948799</v>
      </c>
      <c r="U79" s="394">
        <f>T79/'WAP for Y-AXIS Walls'!L38/'WAP for Y-AXIS Walls'!I58*'WAP for Y-AXIS Walls'!I64</f>
        <v>596.0622726</v>
      </c>
      <c r="V79" s="347">
        <f>U79/U80</f>
        <v>0.999229459</v>
      </c>
      <c r="W79" s="128" t="str">
        <f t="shared" ref="W79:W82" si="59">if(V79&lt;=1,"OK","NG")</f>
        <v>OK</v>
      </c>
      <c r="X79" s="71"/>
    </row>
    <row r="80">
      <c r="C80" s="403"/>
      <c r="D80" s="404">
        <f>max(D66:D78)</f>
        <v>3.291053395</v>
      </c>
      <c r="E80" s="76" t="s">
        <v>450</v>
      </c>
      <c r="F80" s="393">
        <f>G97*F64</f>
        <v>538.0948799</v>
      </c>
      <c r="G80" s="393">
        <f>'WAP for Y-AXIS Walls'!I63* 'WAP for Y-AXIS Walls'!I56/ 'WAP for Y-AXIS Walls'!I64*'WAP for Y-AXIS Walls'!I57</f>
        <v>397.6812781</v>
      </c>
      <c r="H80" s="405">
        <f>'WAP for Y-AXIS Walls'!I77</f>
        <v>0.999229459</v>
      </c>
      <c r="I80" s="308" t="s">
        <v>451</v>
      </c>
      <c r="K80" s="404">
        <f>max(K66:K78)</f>
        <v>4.829621375</v>
      </c>
      <c r="L80" s="406" t="s">
        <v>450</v>
      </c>
      <c r="M80" s="393">
        <f>Q97*M64</f>
        <v>538.0948799</v>
      </c>
      <c r="N80" s="393">
        <f>'WAP for Y-AXIS Walls'!I63* 'WAP for Y-AXIS Walls'!I56/ 'WAP for Y-AXIS Walls'!I64*'WAP for Y-AXIS Walls'!I57</f>
        <v>397.6812781</v>
      </c>
      <c r="O80" s="405">
        <f>'WAP for Y-AXIS Walls'!I77</f>
        <v>0.999229459</v>
      </c>
      <c r="P80" s="308" t="s">
        <v>451</v>
      </c>
      <c r="R80" s="68"/>
      <c r="S80" s="77" t="s">
        <v>452</v>
      </c>
      <c r="T80" s="393">
        <f>T79/'WAP for Y-AXIS Walls'!L38/'WAP for Y-AXIS Walls'!I58</f>
        <v>397.3748484</v>
      </c>
      <c r="U80" s="407">
        <f>'WAP for Y-AXIS Walls'!I56*'WAP for Y-AXIS Walls'!I63*'WAP for Y-AXIS Walls'!I57</f>
        <v>596.5219172</v>
      </c>
      <c r="V80" s="408">
        <f>T80/U80</f>
        <v>0.6661529727</v>
      </c>
      <c r="W80" s="407" t="str">
        <f t="shared" si="59"/>
        <v>OK</v>
      </c>
      <c r="Y80" s="68"/>
      <c r="Z80" s="30"/>
      <c r="AC80" s="409"/>
    </row>
    <row r="81">
      <c r="C81" s="71"/>
      <c r="D81" s="136">
        <f>D80/D79</f>
        <v>1.252701095</v>
      </c>
      <c r="E81" s="80" t="s">
        <v>453</v>
      </c>
      <c r="F81" s="68"/>
      <c r="G81" s="410"/>
      <c r="H81" s="328">
        <f>MAX(H66:H78)</f>
        <v>0.7773546219</v>
      </c>
      <c r="J81" s="71"/>
      <c r="K81" s="136">
        <f>K80/K79</f>
        <v>1.635340593</v>
      </c>
      <c r="L81" s="80" t="s">
        <v>453</v>
      </c>
      <c r="N81" s="68"/>
      <c r="O81" s="328">
        <f>MAX(O66:O78)</f>
        <v>0.9511704915</v>
      </c>
      <c r="Q81" s="68"/>
      <c r="R81" s="68"/>
      <c r="S81" s="68"/>
      <c r="T81" s="68"/>
      <c r="U81" s="68"/>
      <c r="V81" s="405">
        <f>'WAP for Y-AXIS Walls'!I77</f>
        <v>0.999229459</v>
      </c>
      <c r="W81" s="407" t="str">
        <f t="shared" si="59"/>
        <v>OK</v>
      </c>
      <c r="Y81" s="308"/>
      <c r="Z81" s="29"/>
    </row>
    <row r="82">
      <c r="C82" s="82"/>
      <c r="D82" s="325">
        <f>min(max(1,(D80/1.2/D79)^2),3)</f>
        <v>1.089763913</v>
      </c>
      <c r="E82" s="71" t="s">
        <v>454</v>
      </c>
      <c r="F82" s="68"/>
      <c r="G82" s="68"/>
      <c r="H82" s="68"/>
      <c r="J82" s="68"/>
      <c r="K82" s="325">
        <f>min(max(1,(K80/1.2/K79)^2),3)</f>
        <v>1.857179761</v>
      </c>
      <c r="L82" s="71" t="s">
        <v>454</v>
      </c>
      <c r="N82" s="68"/>
      <c r="O82" s="68"/>
      <c r="P82" s="68"/>
      <c r="Q82" s="68"/>
      <c r="R82" s="68"/>
      <c r="S82" s="68"/>
      <c r="T82" s="68"/>
      <c r="U82" s="68"/>
      <c r="V82" s="97">
        <f>max(V66:V78)</f>
        <v>0.9297476012</v>
      </c>
      <c r="W82" s="407" t="str">
        <f t="shared" si="59"/>
        <v>OK</v>
      </c>
      <c r="Y82" s="68"/>
      <c r="Z82" s="29"/>
    </row>
    <row r="83">
      <c r="C83" s="82"/>
      <c r="D83" s="82"/>
      <c r="E83" s="71" t="s">
        <v>455</v>
      </c>
      <c r="F83" s="71"/>
      <c r="G83" s="68"/>
      <c r="H83" s="68"/>
      <c r="I83" s="68"/>
      <c r="J83" s="68"/>
      <c r="K83" s="328"/>
      <c r="L83" s="71" t="s">
        <v>455</v>
      </c>
      <c r="N83" s="68"/>
      <c r="O83" s="68"/>
      <c r="P83" s="68"/>
      <c r="Q83" s="68"/>
      <c r="R83" s="68"/>
      <c r="S83" s="68"/>
      <c r="T83" s="68"/>
      <c r="U83" s="68"/>
      <c r="V83" s="68"/>
      <c r="W83" s="68"/>
      <c r="X83" s="68"/>
      <c r="Y83" s="68"/>
    </row>
    <row r="84">
      <c r="C84" s="82"/>
      <c r="D84" s="411" t="str">
        <f>if(D81&lt;1,"ERREUR &lt;1",if(D81&lt;=1.2,"Pas d'irrégularité torsionnelle, Max/Moy &lt;1.2",if(D81&lt;=1.4,"Irrégularité torsionnelle 1a, Max/Moy=1.2-1.4","Irrégularité torsionnelle extrême 1b, Max/Moy&gt;1.4")))</f>
        <v>Irrégularité torsionnelle 1a, Max/Moy=1.2-1.4</v>
      </c>
      <c r="E84" s="406"/>
      <c r="F84" s="406"/>
      <c r="G84" s="68"/>
      <c r="H84" s="114" t="s">
        <v>456</v>
      </c>
      <c r="I84" s="68"/>
      <c r="J84" s="68"/>
      <c r="M84" s="411"/>
      <c r="N84" s="68"/>
      <c r="O84" s="412" t="str">
        <f>if(K81&lt;1,"ERREUR &lt;1",if(K81&lt;=1.2,"Pas d'irrégularité torsionnelle, Moy/Moy&lt;1.2",if(K81&lt;=1.4,"Irrégularité torsionnelle 1a, Max/Moy=1.2-1.4","Irrégularité torsionnelle extrême 1b, Max/Moy&gt;1.4")))</f>
        <v>Irrégularité torsionnelle extrême 1b, Max/Moy&gt;1.4</v>
      </c>
      <c r="P84" s="413" t="s">
        <v>456</v>
      </c>
      <c r="R84" s="410"/>
      <c r="S84" s="68"/>
      <c r="T84" s="68"/>
      <c r="U84" s="68"/>
      <c r="V84" s="68"/>
      <c r="W84" s="68"/>
    </row>
    <row r="85">
      <c r="C85" s="82"/>
      <c r="D85" s="68"/>
      <c r="E85" s="68"/>
      <c r="F85" s="68"/>
      <c r="G85" s="414"/>
      <c r="H85" s="406"/>
      <c r="I85" s="68"/>
      <c r="J85" s="68"/>
      <c r="K85" s="68"/>
      <c r="O85" s="68"/>
      <c r="P85" s="68"/>
      <c r="Q85" s="68"/>
      <c r="R85" s="410"/>
      <c r="S85" s="415"/>
      <c r="T85" s="68"/>
      <c r="U85" s="68"/>
      <c r="V85" s="410"/>
      <c r="W85" s="68"/>
      <c r="X85" s="68"/>
      <c r="Y85" s="68"/>
    </row>
    <row r="86" ht="15.0" customHeight="1">
      <c r="E86" s="416"/>
      <c r="F86" s="416" t="s">
        <v>457</v>
      </c>
      <c r="G86" s="417">
        <f>if(and('WAP for Y-AXIS Walls'!D12="Légère",'WAP for Y-AXIS Walls'!E10="Niveau supérieur"),0.05,0.05)</f>
        <v>0.05</v>
      </c>
      <c r="H86" s="71" t="s">
        <v>458</v>
      </c>
      <c r="I86" s="68"/>
      <c r="J86" s="68"/>
      <c r="O86" s="68"/>
      <c r="P86" s="68"/>
      <c r="Q86" s="416" t="s">
        <v>459</v>
      </c>
      <c r="R86" s="417">
        <f>if(and('WAP for Y-AXIS Walls'!D12="Légère",'WAP for Y-AXIS Walls'!E10="Niveau supérieur"),0.05,0.05)</f>
        <v>0.05</v>
      </c>
      <c r="S86" s="71" t="s">
        <v>458</v>
      </c>
      <c r="T86" s="68"/>
      <c r="U86" s="68"/>
      <c r="W86" s="68"/>
      <c r="X86" s="68"/>
      <c r="Y86" s="68"/>
    </row>
    <row r="87" ht="16.5" customHeight="1">
      <c r="E87" s="416"/>
      <c r="F87" s="416" t="s">
        <v>460</v>
      </c>
      <c r="G87" s="75">
        <v>1.123</v>
      </c>
      <c r="H87" s="71" t="s">
        <v>461</v>
      </c>
      <c r="I87" s="68"/>
      <c r="J87" s="68"/>
      <c r="O87" s="68"/>
      <c r="P87" s="68"/>
      <c r="Q87" s="416" t="s">
        <v>462</v>
      </c>
      <c r="R87" s="75">
        <v>1.671</v>
      </c>
      <c r="S87" s="71" t="s">
        <v>461</v>
      </c>
      <c r="T87" s="68"/>
      <c r="U87" s="68"/>
      <c r="W87" s="68"/>
      <c r="X87" s="68"/>
      <c r="Y87" s="68"/>
    </row>
    <row r="88">
      <c r="E88" s="416"/>
      <c r="F88" s="416" t="s">
        <v>457</v>
      </c>
      <c r="G88" s="418">
        <f>G86*G87</f>
        <v>0.05615</v>
      </c>
      <c r="H88" s="80" t="s">
        <v>463</v>
      </c>
      <c r="I88" s="43"/>
      <c r="J88" s="68"/>
      <c r="O88" s="68"/>
      <c r="P88" s="68"/>
      <c r="Q88" s="416" t="s">
        <v>464</v>
      </c>
      <c r="R88" s="418">
        <f>R86*R87</f>
        <v>0.08355</v>
      </c>
      <c r="S88" s="80" t="s">
        <v>463</v>
      </c>
      <c r="T88" s="43"/>
      <c r="U88" s="68"/>
      <c r="W88" s="68"/>
      <c r="X88" s="68"/>
      <c r="Y88" s="68"/>
    </row>
    <row r="89" ht="17.25" customHeight="1">
      <c r="E89" s="419"/>
      <c r="F89" s="419" t="s">
        <v>465</v>
      </c>
      <c r="G89" s="82">
        <f>if('WAP for Y-AXIS Walls'!D12="Légère",lookup('WAP for Y-AXIS Walls'!D8,Reference!$B$37:$B$42,Reference!$K$37:$K$42),1)</f>
        <v>1</v>
      </c>
      <c r="H89" s="71" t="s">
        <v>466</v>
      </c>
      <c r="I89" s="68"/>
      <c r="J89" s="68"/>
      <c r="O89" s="68"/>
      <c r="P89" s="68"/>
      <c r="Q89" s="419" t="s">
        <v>465</v>
      </c>
      <c r="R89" s="82">
        <f>if('WAP for Y-AXIS Walls'!D12="Légère",lookup('WAP for Y-AXIS Walls'!D8,Reference!$B$37:$B$42,Reference!$K$37:$K$42),1)</f>
        <v>1</v>
      </c>
      <c r="S89" s="420" t="s">
        <v>466</v>
      </c>
      <c r="T89" s="68"/>
      <c r="U89" s="68"/>
      <c r="W89" s="68"/>
      <c r="X89" s="68"/>
      <c r="Y89" s="68"/>
    </row>
    <row r="90">
      <c r="E90" s="421"/>
      <c r="T90" s="68"/>
      <c r="U90" s="68"/>
      <c r="V90" s="410"/>
      <c r="W90" s="68"/>
      <c r="X90" s="68"/>
      <c r="Y90" s="68"/>
    </row>
    <row r="91">
      <c r="E91" s="68"/>
      <c r="F91" s="421" t="s">
        <v>467</v>
      </c>
      <c r="G91" s="364"/>
      <c r="H91" s="364"/>
      <c r="I91" s="364"/>
      <c r="J91" s="68"/>
      <c r="K91" s="68"/>
      <c r="O91" s="68"/>
      <c r="P91" s="421" t="s">
        <v>468</v>
      </c>
      <c r="Q91" s="422"/>
      <c r="R91" s="422"/>
      <c r="S91" s="364"/>
      <c r="T91" s="48"/>
      <c r="U91" s="82"/>
      <c r="V91" s="68"/>
      <c r="W91" s="68"/>
      <c r="X91" s="68"/>
      <c r="Y91" s="68"/>
    </row>
    <row r="92">
      <c r="E92" s="423"/>
      <c r="F92" s="423" t="s">
        <v>469</v>
      </c>
      <c r="G92" s="384">
        <f>G88</f>
        <v>0.05615</v>
      </c>
      <c r="H92" s="43" t="s">
        <v>470</v>
      </c>
      <c r="I92" s="68"/>
      <c r="J92" s="68"/>
      <c r="K92" s="68"/>
      <c r="O92" s="68"/>
      <c r="P92" s="423" t="s">
        <v>471</v>
      </c>
      <c r="Q92" s="384">
        <f>R88</f>
        <v>0.08355</v>
      </c>
      <c r="R92" s="43" t="s">
        <v>470</v>
      </c>
      <c r="S92" s="68"/>
      <c r="T92" s="68"/>
      <c r="U92" s="68"/>
      <c r="V92" s="68"/>
      <c r="W92" s="68"/>
      <c r="X92" s="68"/>
      <c r="Y92" s="68"/>
    </row>
    <row r="93">
      <c r="E93" s="416"/>
      <c r="F93" s="416" t="s">
        <v>472</v>
      </c>
      <c r="G93" s="136">
        <f>G92*$D$8</f>
        <v>0.81979</v>
      </c>
      <c r="H93" s="43" t="s">
        <v>84</v>
      </c>
      <c r="I93" s="71" t="s">
        <v>473</v>
      </c>
      <c r="J93" s="68"/>
      <c r="K93" s="68"/>
      <c r="O93" s="68"/>
      <c r="P93" s="416" t="s">
        <v>474</v>
      </c>
      <c r="Q93" s="136">
        <f>-Q92*$D$8</f>
        <v>-1.21983</v>
      </c>
      <c r="R93" s="43" t="s">
        <v>84</v>
      </c>
      <c r="S93" s="71" t="s">
        <v>473</v>
      </c>
      <c r="T93" s="68"/>
      <c r="U93" s="68"/>
      <c r="V93" s="68"/>
      <c r="W93" s="68"/>
      <c r="X93" s="68"/>
      <c r="Y93" s="68"/>
    </row>
    <row r="94">
      <c r="E94" s="419"/>
      <c r="F94" s="419" t="s">
        <v>475</v>
      </c>
      <c r="G94" s="97">
        <f>G43+G93</f>
        <v>8.01979</v>
      </c>
      <c r="H94" s="71" t="s">
        <v>476</v>
      </c>
      <c r="I94" s="424"/>
      <c r="J94" s="71"/>
      <c r="K94" s="68"/>
      <c r="O94" s="68"/>
      <c r="P94" s="419" t="s">
        <v>475</v>
      </c>
      <c r="Q94" s="97">
        <f>G43+Q93</f>
        <v>5.98017</v>
      </c>
      <c r="R94" s="71" t="s">
        <v>477</v>
      </c>
      <c r="S94" s="425"/>
      <c r="T94" s="71"/>
      <c r="U94" s="68"/>
      <c r="V94" s="68"/>
      <c r="W94" s="68"/>
      <c r="X94" s="68"/>
      <c r="Y94" s="68"/>
    </row>
    <row r="95">
      <c r="E95" s="423" t="s">
        <v>478</v>
      </c>
      <c r="G95" s="426">
        <f>G94-G41</f>
        <v>-1.116809968</v>
      </c>
      <c r="H95" s="80" t="s">
        <v>84</v>
      </c>
      <c r="I95" s="71"/>
      <c r="J95" s="68"/>
      <c r="K95" s="68"/>
      <c r="O95" s="68"/>
      <c r="P95" s="419" t="s">
        <v>478</v>
      </c>
      <c r="Q95" s="426">
        <f>Q94-G41</f>
        <v>-3.156429968</v>
      </c>
      <c r="R95" s="427" t="s">
        <v>84</v>
      </c>
      <c r="S95" s="68"/>
      <c r="T95" s="68"/>
      <c r="U95" s="68"/>
      <c r="V95" s="68"/>
      <c r="W95" s="68"/>
      <c r="X95" s="68"/>
      <c r="Y95" s="68"/>
    </row>
    <row r="96">
      <c r="E96" s="428"/>
      <c r="F96" s="416" t="s">
        <v>479</v>
      </c>
      <c r="G96" s="429">
        <f>G95/$D$8</f>
        <v>-0.07649383341</v>
      </c>
      <c r="H96" s="430" t="s">
        <v>479</v>
      </c>
      <c r="I96" s="71"/>
      <c r="J96" s="68"/>
      <c r="K96" s="68"/>
      <c r="O96" s="68"/>
      <c r="P96" s="428"/>
      <c r="Q96" s="429">
        <f>Q95/$D$8</f>
        <v>-0.2161938334</v>
      </c>
      <c r="R96" s="430" t="s">
        <v>479</v>
      </c>
      <c r="S96" s="68"/>
      <c r="T96" s="68"/>
      <c r="U96" s="68"/>
      <c r="V96" s="68"/>
      <c r="W96" s="68"/>
      <c r="X96" s="68"/>
      <c r="Y96" s="68"/>
    </row>
    <row r="97">
      <c r="E97" s="419"/>
      <c r="F97" s="419" t="s">
        <v>480</v>
      </c>
      <c r="G97" s="431">
        <f>'WAP for Y-AXIS Walls'!I68</f>
        <v>538.0948799</v>
      </c>
      <c r="H97" s="71" t="s">
        <v>199</v>
      </c>
      <c r="I97" s="26"/>
      <c r="L97" s="68"/>
      <c r="M97" s="68"/>
      <c r="O97" s="68"/>
      <c r="P97" s="419" t="s">
        <v>480</v>
      </c>
      <c r="Q97" s="431">
        <f>'WAP for Y-AXIS Walls'!I68</f>
        <v>538.0948799</v>
      </c>
      <c r="R97" s="427"/>
      <c r="T97" s="68"/>
      <c r="U97" s="68"/>
      <c r="V97" s="68"/>
      <c r="W97" s="68"/>
      <c r="X97" s="68"/>
      <c r="Y97" s="68"/>
    </row>
    <row r="98">
      <c r="E98" s="419"/>
      <c r="F98" s="419" t="s">
        <v>481</v>
      </c>
      <c r="G98" s="431">
        <f>G95*$G$89*G97</f>
        <v>-600.9497255</v>
      </c>
      <c r="H98" s="71" t="s">
        <v>482</v>
      </c>
      <c r="I98" s="26" t="s">
        <v>483</v>
      </c>
      <c r="L98" s="374" t="str">
        <f>if(H98&lt;0,"Dans le sens inverse des aiguilles d'une montre","dans le sens des aiguilles d'une montre")</f>
        <v>dans le sens des aiguilles d'une montre</v>
      </c>
      <c r="M98" s="68"/>
      <c r="O98" s="68"/>
      <c r="P98" s="419" t="s">
        <v>481</v>
      </c>
      <c r="Q98" s="431">
        <f>Q97*Q95*$R$89</f>
        <v>-1698.458805</v>
      </c>
      <c r="R98" s="427" t="s">
        <v>482</v>
      </c>
      <c r="S98" s="374" t="str">
        <f>if(Q98&lt;0,"Dans le sens inverse des aiguilles d'une montre","Dans le sens des aiguilles d'une montre")</f>
        <v>Dans le sens inverse des aiguilles d'une montre</v>
      </c>
      <c r="T98" s="68"/>
      <c r="U98" s="68"/>
      <c r="V98" s="68"/>
      <c r="W98" s="68"/>
      <c r="X98" s="68"/>
      <c r="Y98" s="68"/>
    </row>
    <row r="99">
      <c r="E99" s="423"/>
      <c r="F99" s="423" t="s">
        <v>484</v>
      </c>
      <c r="G99" s="432">
        <f>G98/U34</f>
        <v>-0.00009220661929</v>
      </c>
      <c r="H99" s="71" t="s">
        <v>485</v>
      </c>
      <c r="I99" s="26" t="s">
        <v>486</v>
      </c>
      <c r="K99" s="71"/>
      <c r="L99" s="71" t="s">
        <v>487</v>
      </c>
      <c r="M99" s="68"/>
      <c r="O99" s="68"/>
      <c r="P99" s="423" t="s">
        <v>484</v>
      </c>
      <c r="Q99" s="432">
        <f>Q98/U34</f>
        <v>-0.0002606027388</v>
      </c>
      <c r="R99" s="80" t="s">
        <v>485</v>
      </c>
      <c r="S99" s="71"/>
      <c r="T99" s="68"/>
      <c r="U99" s="68"/>
      <c r="V99" s="68"/>
      <c r="W99" s="68"/>
      <c r="X99" s="68"/>
      <c r="Y99" s="68"/>
    </row>
    <row r="100">
      <c r="E100" s="68"/>
      <c r="F100" s="68"/>
      <c r="G100" s="433">
        <f>G99/2*pi()*360</f>
        <v>-0.0521416148</v>
      </c>
      <c r="H100" s="71" t="s">
        <v>488</v>
      </c>
      <c r="I100" s="114" t="s">
        <v>489</v>
      </c>
      <c r="J100" s="68"/>
      <c r="M100" s="68"/>
      <c r="O100" s="68"/>
      <c r="P100" s="68"/>
      <c r="Q100" s="433">
        <f>Q99/2*pi()*360</f>
        <v>-0.147367377</v>
      </c>
      <c r="R100" s="71" t="s">
        <v>490</v>
      </c>
      <c r="S100" s="114" t="s">
        <v>489</v>
      </c>
      <c r="T100" s="68"/>
      <c r="U100" s="68"/>
      <c r="V100" s="68"/>
      <c r="W100" s="68"/>
      <c r="X100" s="68"/>
      <c r="Y100" s="68"/>
    </row>
    <row r="101">
      <c r="C101" s="68"/>
      <c r="D101" s="68"/>
      <c r="E101" s="68"/>
      <c r="F101" s="68"/>
      <c r="G101" s="68"/>
      <c r="H101" s="68"/>
      <c r="I101" s="114" t="s">
        <v>491</v>
      </c>
      <c r="J101" s="68"/>
      <c r="M101" s="68"/>
      <c r="O101" s="68"/>
      <c r="P101" s="68"/>
      <c r="Q101" s="68"/>
      <c r="R101" s="68"/>
      <c r="S101" s="114" t="s">
        <v>491</v>
      </c>
      <c r="T101" s="68"/>
      <c r="U101" s="68"/>
      <c r="V101" s="68"/>
      <c r="W101" s="68"/>
      <c r="X101" s="68"/>
      <c r="Y101" s="68"/>
    </row>
    <row r="102" ht="29.25" customHeight="1">
      <c r="C102" s="68"/>
      <c r="D102" s="68"/>
      <c r="E102" s="68"/>
      <c r="F102" s="68"/>
      <c r="G102" s="68"/>
      <c r="H102" s="68"/>
      <c r="I102" s="68"/>
      <c r="J102" s="68"/>
      <c r="K102" s="68"/>
      <c r="O102" s="68"/>
      <c r="P102" s="68"/>
      <c r="Q102" s="68"/>
      <c r="R102" s="68"/>
      <c r="S102" s="68"/>
      <c r="T102" s="68"/>
      <c r="U102" s="68"/>
      <c r="V102" s="68"/>
      <c r="W102" s="68"/>
      <c r="X102" s="68"/>
      <c r="Y102" s="68"/>
    </row>
    <row r="103" ht="27.75" customHeight="1">
      <c r="C103" s="68"/>
      <c r="D103" s="68"/>
      <c r="E103" s="68"/>
      <c r="F103" s="68"/>
      <c r="G103" s="68"/>
      <c r="H103" s="68"/>
      <c r="I103" s="68"/>
      <c r="J103" s="68"/>
      <c r="K103" s="68"/>
      <c r="L103" s="68"/>
      <c r="M103" s="68"/>
      <c r="N103" s="68"/>
      <c r="O103" s="68"/>
      <c r="P103" s="68"/>
      <c r="Q103" s="68"/>
      <c r="R103" s="68"/>
      <c r="S103" s="68"/>
      <c r="T103" s="68"/>
      <c r="U103" s="68"/>
      <c r="V103" s="68"/>
      <c r="W103" s="68"/>
      <c r="X103" s="68"/>
      <c r="Y103" s="68"/>
    </row>
    <row r="104" ht="27.0" customHeight="1">
      <c r="B104" s="68"/>
      <c r="C104" s="68"/>
      <c r="D104" s="68"/>
      <c r="E104" s="68"/>
      <c r="F104" s="68"/>
      <c r="G104" s="68"/>
      <c r="H104" s="68"/>
      <c r="I104" s="68"/>
      <c r="J104" s="68"/>
      <c r="K104" s="68"/>
      <c r="L104" s="68"/>
      <c r="M104" s="68"/>
      <c r="N104" s="68"/>
      <c r="O104" s="68"/>
      <c r="P104" s="68"/>
      <c r="Q104" s="68"/>
      <c r="R104" s="68"/>
      <c r="S104" s="68"/>
      <c r="T104" s="68"/>
      <c r="U104" s="68"/>
      <c r="V104" s="68"/>
      <c r="W104" s="68"/>
      <c r="X104" s="68"/>
    </row>
    <row r="105" ht="25.5" customHeight="1">
      <c r="B105" s="68"/>
      <c r="C105" s="68"/>
      <c r="D105" s="68"/>
      <c r="E105" s="68"/>
      <c r="F105" s="68"/>
      <c r="G105" s="68"/>
      <c r="H105" s="68"/>
      <c r="I105" s="68"/>
      <c r="J105" s="68"/>
      <c r="K105" s="68"/>
      <c r="L105" s="68"/>
      <c r="M105" s="68"/>
      <c r="N105" s="68"/>
      <c r="O105" s="68"/>
      <c r="P105" s="68"/>
      <c r="Q105" s="68"/>
      <c r="R105" s="68"/>
      <c r="S105" s="68"/>
      <c r="T105" s="68"/>
      <c r="U105" s="68"/>
      <c r="V105" s="68"/>
      <c r="W105" s="68"/>
      <c r="X105" s="68"/>
    </row>
    <row r="106" ht="21.75" customHeight="1">
      <c r="A106" s="47"/>
      <c r="B106" s="224"/>
      <c r="C106" s="246"/>
      <c r="D106" s="224"/>
      <c r="E106" s="224"/>
      <c r="F106" s="224"/>
      <c r="G106" s="224"/>
      <c r="H106" s="224"/>
      <c r="I106" s="224"/>
      <c r="J106" s="224"/>
      <c r="K106" s="224"/>
      <c r="L106" s="224"/>
      <c r="M106" s="224"/>
      <c r="N106" s="224"/>
      <c r="O106" s="288"/>
      <c r="P106" s="224"/>
      <c r="Q106" s="224"/>
      <c r="R106" s="47"/>
    </row>
    <row r="107">
      <c r="A107" s="47"/>
      <c r="B107" s="49" t="s">
        <v>75</v>
      </c>
      <c r="C107" s="50"/>
      <c r="D107" s="51"/>
      <c r="E107" s="51"/>
      <c r="F107" s="51"/>
      <c r="G107" s="51"/>
      <c r="H107" s="51"/>
      <c r="I107" s="51"/>
      <c r="J107" s="51"/>
      <c r="K107" s="51"/>
      <c r="L107" s="51"/>
      <c r="M107" s="51"/>
      <c r="N107" s="52" t="s">
        <v>76</v>
      </c>
      <c r="O107" s="52"/>
      <c r="P107" s="51"/>
      <c r="Q107" s="51"/>
      <c r="R107" s="51"/>
      <c r="S107" s="68"/>
      <c r="T107" s="68"/>
      <c r="U107" s="68"/>
      <c r="V107" s="68"/>
      <c r="W107" s="68"/>
      <c r="X107" s="68"/>
    </row>
    <row r="108">
      <c r="A108" s="47"/>
      <c r="B108" s="49" t="s">
        <v>77</v>
      </c>
      <c r="C108" s="55" t="s">
        <v>78</v>
      </c>
      <c r="D108" s="56"/>
      <c r="E108" s="51"/>
      <c r="F108" s="51"/>
      <c r="G108" s="51"/>
      <c r="H108" s="51"/>
      <c r="I108" s="51"/>
      <c r="J108" s="51"/>
      <c r="K108" s="51"/>
      <c r="L108" s="51"/>
      <c r="M108" s="51"/>
      <c r="N108" s="57" t="s">
        <v>79</v>
      </c>
      <c r="O108" s="57"/>
      <c r="P108" s="51"/>
      <c r="Q108" s="51"/>
      <c r="R108" s="51"/>
      <c r="S108" s="68"/>
      <c r="T108" s="68"/>
      <c r="U108" s="68"/>
      <c r="V108" s="68"/>
      <c r="W108" s="68"/>
      <c r="X108" s="68"/>
    </row>
    <row r="109">
      <c r="A109" s="47"/>
      <c r="B109" s="51"/>
      <c r="C109" s="52"/>
      <c r="D109" s="56"/>
      <c r="E109" s="51"/>
      <c r="F109" s="51"/>
      <c r="G109" s="51"/>
      <c r="H109" s="51"/>
      <c r="I109" s="51"/>
      <c r="J109" s="51"/>
      <c r="K109" s="51"/>
      <c r="L109" s="51"/>
      <c r="M109" s="51"/>
      <c r="N109" s="57" t="s">
        <v>80</v>
      </c>
      <c r="O109" s="57"/>
      <c r="P109" s="51"/>
      <c r="Q109" s="51"/>
      <c r="R109" s="51"/>
      <c r="S109" s="68"/>
      <c r="T109" s="68"/>
      <c r="U109" s="68"/>
      <c r="V109" s="68"/>
      <c r="W109" s="68"/>
      <c r="X109" s="68"/>
    </row>
    <row r="110">
      <c r="A110" s="33"/>
      <c r="B110" s="43"/>
      <c r="C110" s="45"/>
      <c r="D110" s="43"/>
      <c r="E110" s="43"/>
      <c r="F110" s="43"/>
      <c r="G110" s="43"/>
      <c r="H110" s="43"/>
      <c r="I110" s="43"/>
      <c r="J110" s="43"/>
      <c r="K110" s="43"/>
      <c r="L110" s="43"/>
      <c r="M110" s="43"/>
      <c r="N110" s="43"/>
      <c r="O110" s="43"/>
      <c r="P110" s="43"/>
      <c r="Q110" s="43"/>
      <c r="R110" s="43"/>
      <c r="S110" s="68"/>
      <c r="T110" s="68"/>
      <c r="U110" s="68"/>
      <c r="V110" s="68"/>
      <c r="W110" s="68"/>
      <c r="X110" s="68"/>
    </row>
    <row r="111">
      <c r="A111" s="33"/>
      <c r="B111" s="43"/>
      <c r="C111" s="45"/>
      <c r="D111" s="43"/>
      <c r="E111" s="43"/>
      <c r="F111" s="43"/>
      <c r="G111" s="43"/>
      <c r="H111" s="43"/>
      <c r="I111" s="434"/>
      <c r="J111" s="253"/>
      <c r="K111" s="43"/>
      <c r="L111" s="98" t="s">
        <v>225</v>
      </c>
      <c r="M111" s="43"/>
      <c r="N111" s="43"/>
      <c r="O111" s="43"/>
      <c r="P111" s="43"/>
      <c r="Q111" s="43"/>
      <c r="R111" s="43"/>
      <c r="S111" s="68"/>
      <c r="T111" s="68"/>
      <c r="U111" s="68"/>
      <c r="V111" s="68"/>
      <c r="W111" s="68"/>
      <c r="X111" s="68"/>
    </row>
    <row r="112">
      <c r="A112" s="33"/>
      <c r="B112" s="43"/>
      <c r="C112" s="45"/>
      <c r="D112" s="43"/>
      <c r="E112" s="43"/>
      <c r="F112" s="43"/>
      <c r="G112" s="43"/>
      <c r="H112" s="43"/>
      <c r="I112" s="43"/>
      <c r="J112" s="184"/>
      <c r="K112" s="184"/>
      <c r="L112" s="184"/>
      <c r="M112" s="184"/>
      <c r="N112" s="184"/>
      <c r="O112" s="184"/>
      <c r="P112" s="184"/>
      <c r="Q112" s="184"/>
      <c r="R112" s="184"/>
      <c r="S112" s="68"/>
      <c r="T112" s="68"/>
      <c r="U112" s="68"/>
      <c r="V112" s="68"/>
      <c r="W112" s="68"/>
      <c r="X112" s="68"/>
    </row>
    <row r="113">
      <c r="B113" s="68"/>
      <c r="C113" s="68"/>
      <c r="D113" s="68"/>
      <c r="E113" s="68"/>
      <c r="F113" s="68"/>
      <c r="G113" s="68"/>
      <c r="H113" s="68"/>
      <c r="I113" s="68"/>
      <c r="J113" s="291"/>
      <c r="K113" s="289"/>
      <c r="L113" s="184"/>
      <c r="M113" s="290"/>
      <c r="N113" s="184"/>
      <c r="O113" s="291"/>
      <c r="P113" s="291"/>
      <c r="Q113" s="291"/>
      <c r="R113" s="291"/>
      <c r="S113" s="68"/>
      <c r="T113" s="68"/>
      <c r="U113" s="68"/>
      <c r="V113" s="68"/>
      <c r="W113" s="68"/>
      <c r="X113" s="68"/>
    </row>
    <row r="114">
      <c r="A114" s="67"/>
      <c r="B114" s="43"/>
      <c r="C114" s="70" t="s">
        <v>86</v>
      </c>
      <c r="D114" s="276">
        <f>'WAP for Y-AXIS Walls'!P7</f>
        <v>54.02</v>
      </c>
      <c r="E114" s="71"/>
      <c r="F114" s="71" t="s">
        <v>87</v>
      </c>
      <c r="G114" s="71" t="s">
        <v>258</v>
      </c>
      <c r="H114" s="68"/>
      <c r="I114" s="68"/>
      <c r="J114" s="291"/>
      <c r="K114" s="291"/>
      <c r="L114" s="293"/>
      <c r="M114" s="435"/>
      <c r="N114" s="293"/>
      <c r="O114" s="291"/>
      <c r="P114" s="291"/>
      <c r="Q114" s="291"/>
      <c r="R114" s="291"/>
      <c r="S114" s="68"/>
      <c r="T114" s="68"/>
      <c r="U114" s="68"/>
      <c r="V114" s="68"/>
      <c r="W114" s="68"/>
      <c r="X114" s="68"/>
    </row>
    <row r="115">
      <c r="A115" s="189"/>
      <c r="B115" s="43"/>
      <c r="C115" s="77" t="s">
        <v>259</v>
      </c>
      <c r="D115" s="276">
        <f>'WAP for Y-AXIS Walls'!P8</f>
        <v>14.6</v>
      </c>
      <c r="E115" s="71"/>
      <c r="F115" s="71" t="s">
        <v>84</v>
      </c>
      <c r="G115" s="71" t="s">
        <v>260</v>
      </c>
      <c r="H115" s="68"/>
      <c r="I115" s="68"/>
      <c r="J115" s="291"/>
      <c r="K115" s="294"/>
      <c r="L115" s="292"/>
      <c r="M115" s="436"/>
      <c r="N115" s="293"/>
      <c r="O115" s="291"/>
      <c r="P115" s="291"/>
      <c r="Q115" s="291"/>
      <c r="R115" s="291"/>
      <c r="S115" s="68"/>
      <c r="T115" s="68"/>
      <c r="U115" s="68"/>
      <c r="V115" s="68"/>
      <c r="W115" s="68"/>
      <c r="X115" s="68"/>
    </row>
    <row r="116">
      <c r="A116" s="189"/>
      <c r="B116" s="43"/>
      <c r="C116" s="77" t="s">
        <v>261</v>
      </c>
      <c r="D116" s="276">
        <f>'WAP for Y-AXIS Walls'!P9</f>
        <v>3.7</v>
      </c>
      <c r="E116" s="71"/>
      <c r="F116" s="71" t="s">
        <v>87</v>
      </c>
      <c r="G116" s="71" t="s">
        <v>262</v>
      </c>
      <c r="H116" s="68"/>
      <c r="I116" s="68"/>
      <c r="J116" s="291"/>
      <c r="K116" s="294"/>
      <c r="L116" s="292"/>
      <c r="M116" s="436"/>
      <c r="N116" s="293"/>
      <c r="O116" s="291"/>
      <c r="P116" s="291"/>
      <c r="Q116" s="291"/>
      <c r="R116" s="291"/>
      <c r="S116" s="68"/>
      <c r="T116" s="68"/>
      <c r="U116" s="68"/>
      <c r="V116" s="68"/>
      <c r="W116" s="68"/>
      <c r="X116" s="68"/>
    </row>
    <row r="117">
      <c r="B117" s="68"/>
      <c r="C117" s="68"/>
      <c r="D117" s="68"/>
      <c r="E117" s="68"/>
      <c r="F117" s="68"/>
      <c r="G117" s="68"/>
      <c r="H117" s="68"/>
      <c r="I117" s="68"/>
      <c r="J117" s="291"/>
      <c r="K117" s="184"/>
      <c r="L117" s="187"/>
      <c r="M117" s="295"/>
      <c r="N117" s="185"/>
      <c r="O117" s="291"/>
      <c r="P117" s="291"/>
      <c r="Q117" s="291"/>
      <c r="R117" s="291"/>
      <c r="S117" s="68"/>
      <c r="T117" s="68"/>
      <c r="U117" s="68"/>
      <c r="V117" s="68"/>
      <c r="W117" s="68"/>
      <c r="X117" s="68"/>
    </row>
    <row r="118">
      <c r="B118" s="68"/>
      <c r="C118" s="68"/>
      <c r="D118" s="68"/>
      <c r="E118" s="68"/>
      <c r="F118" s="68"/>
      <c r="G118" s="68"/>
      <c r="H118" s="68"/>
      <c r="I118" s="68"/>
      <c r="J118" s="291"/>
      <c r="K118" s="291"/>
      <c r="L118" s="187"/>
      <c r="M118" s="153"/>
      <c r="N118" s="185"/>
      <c r="O118" s="291"/>
      <c r="P118" s="291"/>
      <c r="Q118" s="291"/>
      <c r="R118" s="291"/>
      <c r="S118" s="68"/>
      <c r="T118" s="68"/>
      <c r="U118" s="68"/>
      <c r="V118" s="68"/>
      <c r="W118" s="68"/>
      <c r="X118" s="68"/>
    </row>
    <row r="119">
      <c r="B119" s="68"/>
      <c r="C119" s="68"/>
      <c r="D119" s="68"/>
      <c r="E119" s="68"/>
      <c r="F119" s="68"/>
      <c r="G119" s="68"/>
      <c r="H119" s="68"/>
      <c r="I119" s="68"/>
      <c r="J119" s="291"/>
      <c r="K119" s="291"/>
      <c r="L119" s="297"/>
      <c r="M119" s="298"/>
      <c r="N119" s="293"/>
      <c r="O119" s="293"/>
      <c r="P119" s="291"/>
      <c r="Q119" s="291"/>
      <c r="R119" s="291"/>
      <c r="S119" s="68"/>
      <c r="T119" s="68"/>
      <c r="U119" s="68"/>
      <c r="V119" s="68"/>
      <c r="W119" s="68"/>
      <c r="X119" s="68"/>
      <c r="Z119" s="68"/>
      <c r="AB119" s="90" t="s">
        <v>263</v>
      </c>
      <c r="AC119" s="26">
        <v>0.5</v>
      </c>
    </row>
    <row r="120">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Z120" s="68"/>
      <c r="AB120" s="90" t="s">
        <v>264</v>
      </c>
      <c r="AC120" s="26">
        <v>0.6</v>
      </c>
    </row>
    <row r="121">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Z121" s="68"/>
      <c r="AB121" s="90" t="s">
        <v>265</v>
      </c>
      <c r="AC121" s="26">
        <v>0.25</v>
      </c>
    </row>
    <row r="122">
      <c r="B122" s="299" t="s">
        <v>266</v>
      </c>
      <c r="C122" s="300"/>
      <c r="D122" s="301" t="s">
        <v>267</v>
      </c>
      <c r="E122" s="100" t="s">
        <v>120</v>
      </c>
      <c r="F122" s="101" t="s">
        <v>121</v>
      </c>
      <c r="G122" s="302" t="s">
        <v>268</v>
      </c>
      <c r="H122" s="302" t="s">
        <v>269</v>
      </c>
      <c r="I122" s="101" t="s">
        <v>270</v>
      </c>
      <c r="J122" s="101" t="s">
        <v>271</v>
      </c>
      <c r="K122" s="101" t="s">
        <v>272</v>
      </c>
      <c r="L122" s="303" t="s">
        <v>273</v>
      </c>
      <c r="M122" s="304" t="s">
        <v>274</v>
      </c>
      <c r="N122" s="101" t="s">
        <v>275</v>
      </c>
      <c r="O122" s="303" t="s">
        <v>276</v>
      </c>
      <c r="P122" s="302" t="s">
        <v>277</v>
      </c>
      <c r="Q122" s="303" t="s">
        <v>278</v>
      </c>
      <c r="R122" s="101" t="s">
        <v>276</v>
      </c>
      <c r="S122" s="303"/>
      <c r="T122" s="303" t="s">
        <v>279</v>
      </c>
      <c r="U122" s="305" t="s">
        <v>280</v>
      </c>
      <c r="V122" s="68"/>
      <c r="W122" s="68"/>
      <c r="X122" s="68"/>
      <c r="Y122" s="68"/>
      <c r="Z122" s="293" t="s">
        <v>281</v>
      </c>
      <c r="AA122" s="71" t="s">
        <v>282</v>
      </c>
      <c r="AB122" s="26" t="s">
        <v>283</v>
      </c>
      <c r="AC122" s="26" t="s">
        <v>284</v>
      </c>
      <c r="AD122" s="26" t="s">
        <v>492</v>
      </c>
    </row>
    <row r="123">
      <c r="B123" s="113" t="s">
        <v>285</v>
      </c>
      <c r="C123" s="115" t="s">
        <v>286</v>
      </c>
      <c r="D123" s="115" t="s">
        <v>287</v>
      </c>
      <c r="E123" s="306" t="s">
        <v>288</v>
      </c>
      <c r="F123" s="115" t="s">
        <v>186</v>
      </c>
      <c r="G123" s="111" t="s">
        <v>289</v>
      </c>
      <c r="H123" s="111" t="s">
        <v>290</v>
      </c>
      <c r="I123" s="111" t="s">
        <v>291</v>
      </c>
      <c r="J123" s="111" t="s">
        <v>140</v>
      </c>
      <c r="K123" s="111" t="s">
        <v>292</v>
      </c>
      <c r="L123" s="115" t="s">
        <v>293</v>
      </c>
      <c r="M123" s="115" t="s">
        <v>294</v>
      </c>
      <c r="N123" s="111" t="s">
        <v>295</v>
      </c>
      <c r="O123" s="111" t="s">
        <v>296</v>
      </c>
      <c r="P123" s="111" t="s">
        <v>297</v>
      </c>
      <c r="Q123" s="111" t="s">
        <v>298</v>
      </c>
      <c r="R123" s="111" t="s">
        <v>299</v>
      </c>
      <c r="S123" s="115" t="s">
        <v>300</v>
      </c>
      <c r="T123" s="307" t="s">
        <v>301</v>
      </c>
      <c r="U123" s="112" t="s">
        <v>302</v>
      </c>
      <c r="V123" s="68"/>
      <c r="W123" s="68"/>
      <c r="X123" s="68"/>
      <c r="Y123" s="68"/>
      <c r="Z123" s="293" t="s">
        <v>303</v>
      </c>
      <c r="AA123" s="71" t="s">
        <v>304</v>
      </c>
      <c r="AB123" s="26" t="s">
        <v>305</v>
      </c>
      <c r="AC123" s="26" t="s">
        <v>306</v>
      </c>
      <c r="AD123" s="26" t="s">
        <v>493</v>
      </c>
    </row>
    <row r="124">
      <c r="B124" s="113" t="s">
        <v>307</v>
      </c>
      <c r="C124" s="115" t="s">
        <v>308</v>
      </c>
      <c r="D124" s="115" t="s">
        <v>309</v>
      </c>
      <c r="E124" s="306" t="s">
        <v>134</v>
      </c>
      <c r="G124" s="111" t="s">
        <v>310</v>
      </c>
      <c r="H124" s="115" t="s">
        <v>311</v>
      </c>
      <c r="I124" s="111" t="s">
        <v>135</v>
      </c>
      <c r="J124" s="111" t="s">
        <v>312</v>
      </c>
      <c r="K124" s="111" t="s">
        <v>313</v>
      </c>
      <c r="L124" s="115" t="s">
        <v>314</v>
      </c>
      <c r="M124" s="115" t="s">
        <v>84</v>
      </c>
      <c r="N124" s="110" t="s">
        <v>315</v>
      </c>
      <c r="O124" s="308" t="s">
        <v>494</v>
      </c>
      <c r="P124" s="111" t="s">
        <v>87</v>
      </c>
      <c r="Q124" s="308" t="s">
        <v>495</v>
      </c>
      <c r="R124" s="111" t="s">
        <v>318</v>
      </c>
      <c r="S124" s="110" t="s">
        <v>319</v>
      </c>
      <c r="T124" s="115" t="s">
        <v>134</v>
      </c>
      <c r="U124" s="309"/>
      <c r="V124" s="68"/>
      <c r="W124" s="68"/>
      <c r="X124" s="68"/>
      <c r="Y124" s="68"/>
      <c r="Z124" s="293" t="s">
        <v>320</v>
      </c>
      <c r="AA124" s="68"/>
      <c r="AB124" s="68"/>
      <c r="AC124" s="26" t="s">
        <v>321</v>
      </c>
      <c r="AD124" s="26" t="s">
        <v>375</v>
      </c>
      <c r="AE124" s="26" t="s">
        <v>376</v>
      </c>
    </row>
    <row r="125">
      <c r="B125" s="126"/>
      <c r="C125" s="121"/>
      <c r="D125" s="310"/>
      <c r="E125" s="126"/>
      <c r="F125" s="311"/>
      <c r="G125" s="125"/>
      <c r="H125" s="125" t="s">
        <v>322</v>
      </c>
      <c r="I125" s="125" t="s">
        <v>323</v>
      </c>
      <c r="J125" s="121" t="s">
        <v>134</v>
      </c>
      <c r="K125" s="121" t="s">
        <v>324</v>
      </c>
      <c r="L125" s="312" t="s">
        <v>496</v>
      </c>
      <c r="M125" s="313" t="s">
        <v>326</v>
      </c>
      <c r="N125" s="314" t="s">
        <v>327</v>
      </c>
      <c r="O125" s="315" t="s">
        <v>328</v>
      </c>
      <c r="P125" s="312" t="s">
        <v>329</v>
      </c>
      <c r="Q125" s="316" t="s">
        <v>330</v>
      </c>
      <c r="R125" s="314" t="s">
        <v>331</v>
      </c>
      <c r="S125" s="317"/>
      <c r="T125" s="317"/>
      <c r="U125" s="318" t="s">
        <v>332</v>
      </c>
      <c r="V125" s="68"/>
      <c r="W125" s="68"/>
      <c r="X125" s="68"/>
      <c r="Y125" s="68"/>
      <c r="Z125" s="293" t="s">
        <v>144</v>
      </c>
      <c r="AA125" s="71" t="s">
        <v>144</v>
      </c>
      <c r="AB125" s="26" t="s">
        <v>319</v>
      </c>
      <c r="AC125" s="26" t="s">
        <v>319</v>
      </c>
      <c r="AD125" s="26" t="s">
        <v>319</v>
      </c>
      <c r="AE125" s="26" t="s">
        <v>319</v>
      </c>
    </row>
    <row r="126">
      <c r="B126" s="319"/>
      <c r="C126" s="320"/>
      <c r="D126" s="321">
        <f t="shared" ref="D126:D127" si="61">D19</f>
        <v>0</v>
      </c>
      <c r="E126" s="155">
        <f>'WAP for Y-AXIS Walls'!E111</f>
        <v>0.2</v>
      </c>
      <c r="F126" s="437">
        <f>'WAP for Y-AXIS Walls'!F111</f>
        <v>10</v>
      </c>
      <c r="G126" s="279">
        <v>2.9</v>
      </c>
      <c r="H126" s="323">
        <f>0.5*(('WAP for Y-AXIS Walls'!F111*145.038)*900)/145.038</f>
        <v>4500</v>
      </c>
      <c r="I126" s="323">
        <f t="shared" ref="I126:I127" si="62">H126*0.4</f>
        <v>1800</v>
      </c>
      <c r="J126" s="135">
        <f>'WAP for Y-AXIS Walls'!D111</f>
        <v>1.3</v>
      </c>
      <c r="K126" s="324">
        <f t="shared" ref="K126:K127" si="63">if(J126=0,0,G126/J126)</f>
        <v>2.230769231</v>
      </c>
      <c r="L126" s="325">
        <f>J126*E126*'WAP for Y-AXIS Walls'!G111</f>
        <v>0.10764</v>
      </c>
      <c r="M126" s="325">
        <f t="shared" ref="M126:M127" si="64">if(J126=0,0,L126/J126)</f>
        <v>0.0828</v>
      </c>
      <c r="N126" s="326">
        <f t="shared" ref="N126:N127" si="65">M126*J126^3/12</f>
        <v>0.0151593</v>
      </c>
      <c r="O126" s="327">
        <f t="shared" ref="O126:O127" si="66">H126*1000*N126*3/G126^3</f>
        <v>8391.100496</v>
      </c>
      <c r="P126" s="136">
        <f t="shared" ref="P126:P127" si="67">5/6*L126</f>
        <v>0.0897</v>
      </c>
      <c r="Q126" s="327">
        <f t="shared" ref="Q126:Q127" si="68">I126*1000*P126/G126</f>
        <v>55675.86207</v>
      </c>
      <c r="R126" s="327">
        <f t="shared" ref="R126:R127" si="69">IF(OR(Q126=0,O126=0),0,(1/(1/O126+1/Q126)))</f>
        <v>7292.085267</v>
      </c>
      <c r="S126" s="327">
        <f t="shared" ref="S126:S127" si="70">R126*D126</f>
        <v>0</v>
      </c>
      <c r="T126" s="328">
        <f t="shared" ref="T126:T127" si="71">D126-$G$148</f>
        <v>-10.09928346</v>
      </c>
      <c r="U126" s="329">
        <f t="shared" ref="U126:U127" si="72">R126*T126^2</f>
        <v>743760.0747</v>
      </c>
      <c r="V126" s="68"/>
      <c r="W126" s="68"/>
      <c r="X126" s="68"/>
      <c r="Y126" s="68"/>
      <c r="Z126" s="331"/>
      <c r="AA126" s="332">
        <f>Z128</f>
        <v>0.1301369863</v>
      </c>
      <c r="AB126" s="333">
        <f t="shared" ref="AB126:AB127" si="73">AA126*$AA$143</f>
        <v>96.8999031</v>
      </c>
      <c r="AC126" s="334">
        <f t="shared" ref="AC126:AC127" si="74">AB126*$AC$12*$AC$13*$AC$14</f>
        <v>7.267492733</v>
      </c>
      <c r="AD126" s="333">
        <f t="shared" ref="AD126:AE126" si="60">AI174</f>
        <v>77.2992978</v>
      </c>
      <c r="AE126" s="333">
        <f t="shared" si="60"/>
        <v>90.62193483</v>
      </c>
    </row>
    <row r="127">
      <c r="B127" s="319"/>
      <c r="C127" s="320"/>
      <c r="D127" s="321">
        <f t="shared" si="61"/>
        <v>0</v>
      </c>
      <c r="E127" s="155">
        <f>'WAP for Y-AXIS Walls'!E112</f>
        <v>0.2</v>
      </c>
      <c r="F127" s="437">
        <f>'WAP for Y-AXIS Walls'!F112</f>
        <v>10</v>
      </c>
      <c r="G127" s="279">
        <v>2.9</v>
      </c>
      <c r="H127" s="323">
        <f>0.5*(('WAP for Y-AXIS Walls'!F112*145.038)*900)/145.038</f>
        <v>4500</v>
      </c>
      <c r="I127" s="323">
        <f t="shared" si="62"/>
        <v>1800</v>
      </c>
      <c r="J127" s="135">
        <f>'WAP for Y-AXIS Walls'!D112</f>
        <v>1.6</v>
      </c>
      <c r="K127" s="324">
        <f t="shared" si="63"/>
        <v>1.8125</v>
      </c>
      <c r="L127" s="325">
        <f>J127*E127*'WAP for Y-AXIS Walls'!G112</f>
        <v>0.13248</v>
      </c>
      <c r="M127" s="325">
        <f t="shared" si="64"/>
        <v>0.0828</v>
      </c>
      <c r="N127" s="326">
        <f t="shared" si="65"/>
        <v>0.0282624</v>
      </c>
      <c r="O127" s="327">
        <f t="shared" si="66"/>
        <v>15644.03625</v>
      </c>
      <c r="P127" s="136">
        <f t="shared" si="67"/>
        <v>0.1104</v>
      </c>
      <c r="Q127" s="327">
        <f t="shared" si="68"/>
        <v>68524.13793</v>
      </c>
      <c r="R127" s="327">
        <f t="shared" si="69"/>
        <v>12736.33541</v>
      </c>
      <c r="S127" s="327">
        <f t="shared" si="70"/>
        <v>0</v>
      </c>
      <c r="T127" s="328">
        <f t="shared" si="71"/>
        <v>-10.09928346</v>
      </c>
      <c r="U127" s="329">
        <f t="shared" si="72"/>
        <v>1299049.234</v>
      </c>
      <c r="V127" s="68"/>
      <c r="W127" s="68"/>
      <c r="X127" s="68"/>
      <c r="Y127" s="68"/>
      <c r="Z127" s="336"/>
      <c r="AA127" s="438">
        <v>0.0</v>
      </c>
      <c r="AB127" s="333">
        <f t="shared" si="73"/>
        <v>0</v>
      </c>
      <c r="AC127" s="334">
        <f t="shared" si="74"/>
        <v>0</v>
      </c>
    </row>
    <row r="128">
      <c r="B128" s="439">
        <f t="shared" ref="B128:D128" si="75">B21</f>
        <v>0.85</v>
      </c>
      <c r="C128" s="320">
        <f t="shared" si="75"/>
        <v>5.9755</v>
      </c>
      <c r="D128" s="321" t="str">
        <f t="shared" si="75"/>
        <v/>
      </c>
      <c r="E128" s="155"/>
      <c r="F128" s="437"/>
      <c r="G128" s="339"/>
      <c r="H128" s="323"/>
      <c r="I128" s="323"/>
      <c r="J128" s="135" t="str">
        <f>'WAP for Y-AXIS Walls'!D113</f>
        <v/>
      </c>
      <c r="K128" s="324"/>
      <c r="L128" s="325"/>
      <c r="M128" s="325"/>
      <c r="N128" s="326"/>
      <c r="O128" s="327"/>
      <c r="P128" s="136"/>
      <c r="Q128" s="327"/>
      <c r="R128" s="327"/>
      <c r="S128" s="327"/>
      <c r="T128" s="328"/>
      <c r="U128" s="329"/>
      <c r="V128" s="68"/>
      <c r="W128" s="68"/>
      <c r="X128" s="68"/>
      <c r="Y128" s="68"/>
      <c r="Z128" s="336">
        <f>'WAP for Y-AXIS Walls'!O113/'WAP for Y-AXIS Walls'!$O$124</f>
        <v>0.1301369863</v>
      </c>
      <c r="AA128" s="332"/>
    </row>
    <row r="129">
      <c r="B129" s="439" t="str">
        <f t="shared" ref="B129:D129" si="76">B22</f>
        <v/>
      </c>
      <c r="C129" s="320" t="str">
        <f t="shared" si="76"/>
        <v/>
      </c>
      <c r="D129" s="321">
        <f t="shared" si="76"/>
        <v>3.6</v>
      </c>
      <c r="E129" s="155">
        <f>'WAP for Y-AXIS Walls'!E114</f>
        <v>0.2</v>
      </c>
      <c r="F129" s="437">
        <f>'WAP for Y-AXIS Walls'!F114</f>
        <v>10</v>
      </c>
      <c r="G129" s="279">
        <v>2.9</v>
      </c>
      <c r="H129" s="323">
        <f>0.5*(('WAP for Y-AXIS Walls'!F114*145.038)*900)/145.038</f>
        <v>4500</v>
      </c>
      <c r="I129" s="323">
        <f>H129*0.4</f>
        <v>1800</v>
      </c>
      <c r="J129" s="135">
        <f>'WAP for Y-AXIS Walls'!D114</f>
        <v>1.9</v>
      </c>
      <c r="K129" s="324">
        <f>if(J129=0,0,G129/J129)</f>
        <v>1.526315789</v>
      </c>
      <c r="L129" s="325">
        <f>J129*E129*'WAP for Y-AXIS Walls'!G114</f>
        <v>0.15732</v>
      </c>
      <c r="M129" s="325">
        <f>if(J129=0,0,L129/J129)</f>
        <v>0.0828</v>
      </c>
      <c r="N129" s="326">
        <f>M129*J129^3/12</f>
        <v>0.0473271</v>
      </c>
      <c r="O129" s="327">
        <f>H129*1000*N129*3/G129^3</f>
        <v>26196.88589</v>
      </c>
      <c r="P129" s="136">
        <f>5/6*L129</f>
        <v>0.1311</v>
      </c>
      <c r="Q129" s="327">
        <f>I129*1000*P129/G129</f>
        <v>81372.41379</v>
      </c>
      <c r="R129" s="327">
        <f>IF(OR(Q129=0,O129=0),0,(1/(1/O129+1/Q129)))</f>
        <v>19817.02814</v>
      </c>
      <c r="S129" s="327">
        <f>R129*D129</f>
        <v>71341.3013</v>
      </c>
      <c r="T129" s="328">
        <f>D129-$G$148</f>
        <v>-6.499283455</v>
      </c>
      <c r="U129" s="329">
        <f>R129*T129^2</f>
        <v>837084.8519</v>
      </c>
      <c r="V129" s="68"/>
      <c r="W129" s="68"/>
      <c r="X129" s="68"/>
      <c r="Y129" s="68"/>
      <c r="Z129" s="331"/>
      <c r="AA129" s="332">
        <f>Z130</f>
        <v>0.2465753425</v>
      </c>
      <c r="AB129" s="333">
        <f>AA129*$AA$143</f>
        <v>183.5998164</v>
      </c>
      <c r="AC129" s="334">
        <f>AB129*$AC$12*$AC$13*$AC$14</f>
        <v>13.76998623</v>
      </c>
    </row>
    <row r="130">
      <c r="B130" s="439">
        <f t="shared" ref="B130:D130" si="77">B23</f>
        <v>3.6</v>
      </c>
      <c r="C130" s="320">
        <f t="shared" si="77"/>
        <v>47.952</v>
      </c>
      <c r="D130" s="321" t="str">
        <f t="shared" si="77"/>
        <v/>
      </c>
      <c r="E130" s="155"/>
      <c r="F130" s="437"/>
      <c r="G130" s="339"/>
      <c r="H130" s="323"/>
      <c r="I130" s="323"/>
      <c r="J130" s="135" t="str">
        <f>'WAP for Y-AXIS Walls'!D115</f>
        <v/>
      </c>
      <c r="K130" s="324"/>
      <c r="L130" s="325"/>
      <c r="M130" s="325"/>
      <c r="N130" s="326"/>
      <c r="O130" s="327"/>
      <c r="P130" s="328"/>
      <c r="Q130" s="327"/>
      <c r="R130" s="327"/>
      <c r="S130" s="327"/>
      <c r="T130" s="328"/>
      <c r="U130" s="329"/>
      <c r="V130" s="68"/>
      <c r="W130" s="68"/>
      <c r="X130" s="68"/>
      <c r="Y130" s="68"/>
      <c r="Z130" s="336">
        <f>'WAP for Y-AXIS Walls'!O115/'WAP for Y-AXIS Walls'!$O$124</f>
        <v>0.2465753425</v>
      </c>
      <c r="AA130" s="332"/>
    </row>
    <row r="131">
      <c r="B131" s="439" t="str">
        <f t="shared" ref="B131:D131" si="78">B24</f>
        <v/>
      </c>
      <c r="C131" s="320" t="str">
        <f t="shared" si="78"/>
        <v/>
      </c>
      <c r="D131" s="321">
        <f t="shared" si="78"/>
        <v>7.2</v>
      </c>
      <c r="E131" s="155">
        <f>'WAP for Y-AXIS Walls'!E116</f>
        <v>0.2</v>
      </c>
      <c r="F131" s="437">
        <f>'WAP for Y-AXIS Walls'!F116</f>
        <v>10</v>
      </c>
      <c r="G131" s="279">
        <v>2.9</v>
      </c>
      <c r="H131" s="323">
        <f>0.5*(('WAP for Y-AXIS Walls'!F116*145.038)*900)/145.038</f>
        <v>4500</v>
      </c>
      <c r="I131" s="323">
        <f>H131*0.4</f>
        <v>1800</v>
      </c>
      <c r="J131" s="135">
        <f>'WAP for Y-AXIS Walls'!D116</f>
        <v>1.9</v>
      </c>
      <c r="K131" s="324">
        <f>if(J131=0,0,G131/J131)</f>
        <v>1.526315789</v>
      </c>
      <c r="L131" s="325">
        <f>J131*E131*'WAP for Y-AXIS Walls'!G116</f>
        <v>0.15732</v>
      </c>
      <c r="M131" s="325">
        <f>if(J131=0,0,L131/J131)</f>
        <v>0.0828</v>
      </c>
      <c r="N131" s="326">
        <f>M131*J131^3/12</f>
        <v>0.0473271</v>
      </c>
      <c r="O131" s="327">
        <f>H131*1000*N131*3/G131^3</f>
        <v>26196.88589</v>
      </c>
      <c r="P131" s="136">
        <f>5/6*L131</f>
        <v>0.1311</v>
      </c>
      <c r="Q131" s="327">
        <f>I131*1000*P131/G131</f>
        <v>81372.41379</v>
      </c>
      <c r="R131" s="327">
        <f>IF(OR(Q131=0,O131=0),0,(1/(1/O131+1/Q131)))</f>
        <v>19817.02814</v>
      </c>
      <c r="S131" s="327">
        <f>R131*D131</f>
        <v>142682.6026</v>
      </c>
      <c r="T131" s="328">
        <f>D131-$G$148</f>
        <v>-2.899283455</v>
      </c>
      <c r="U131" s="329">
        <f>R131*T131^2</f>
        <v>166578.8581</v>
      </c>
      <c r="V131" s="68"/>
      <c r="W131" s="68"/>
      <c r="X131" s="68"/>
      <c r="Y131" s="68"/>
      <c r="Z131" s="331"/>
      <c r="AA131" s="332">
        <f>Z132</f>
        <v>0.2465753425</v>
      </c>
      <c r="AB131" s="333">
        <f>AA131*$AA$143</f>
        <v>183.5998164</v>
      </c>
      <c r="AC131" s="334">
        <f>AB131*$AC$12*$AC$13*$AC$14</f>
        <v>13.76998623</v>
      </c>
    </row>
    <row r="132">
      <c r="B132" s="439">
        <f t="shared" ref="B132:D132" si="79">B25</f>
        <v>7.2</v>
      </c>
      <c r="C132" s="320">
        <f t="shared" si="79"/>
        <v>95.904</v>
      </c>
      <c r="D132" s="321" t="str">
        <f t="shared" si="79"/>
        <v/>
      </c>
      <c r="E132" s="155"/>
      <c r="F132" s="437"/>
      <c r="G132" s="339"/>
      <c r="H132" s="323"/>
      <c r="I132" s="323"/>
      <c r="J132" s="135" t="str">
        <f>'WAP for Y-AXIS Walls'!D117</f>
        <v/>
      </c>
      <c r="K132" s="324"/>
      <c r="L132" s="325"/>
      <c r="M132" s="325"/>
      <c r="N132" s="326"/>
      <c r="O132" s="327"/>
      <c r="P132" s="136"/>
      <c r="Q132" s="327"/>
      <c r="R132" s="327"/>
      <c r="S132" s="327"/>
      <c r="T132" s="328"/>
      <c r="U132" s="329"/>
      <c r="V132" s="68"/>
      <c r="W132" s="68"/>
      <c r="X132" s="68"/>
      <c r="Y132" s="68"/>
      <c r="Z132" s="336">
        <f>'WAP for Y-AXIS Walls'!O117/'WAP for Y-AXIS Walls'!$O$124</f>
        <v>0.2465753425</v>
      </c>
      <c r="AA132" s="332"/>
    </row>
    <row r="133">
      <c r="B133" s="439" t="str">
        <f t="shared" ref="B133:D133" si="80">B26</f>
        <v/>
      </c>
      <c r="C133" s="320" t="str">
        <f t="shared" si="80"/>
        <v/>
      </c>
      <c r="D133" s="321">
        <f t="shared" si="80"/>
        <v>10.8</v>
      </c>
      <c r="E133" s="155">
        <f>'WAP for Y-AXIS Walls'!E118</f>
        <v>0.2</v>
      </c>
      <c r="F133" s="437">
        <f>'WAP for Y-AXIS Walls'!F118</f>
        <v>10</v>
      </c>
      <c r="G133" s="279">
        <v>2.9</v>
      </c>
      <c r="H133" s="323">
        <f>0.5*(('WAP for Y-AXIS Walls'!F118*145.038)*900)/145.038</f>
        <v>4500</v>
      </c>
      <c r="I133" s="323">
        <f>H133*0.4</f>
        <v>1800</v>
      </c>
      <c r="J133" s="135">
        <f>'WAP for Y-AXIS Walls'!D118</f>
        <v>1.9</v>
      </c>
      <c r="K133" s="324">
        <f>if(J133=0,0,G133/J133)</f>
        <v>1.526315789</v>
      </c>
      <c r="L133" s="325">
        <f>J133*E133*'WAP for Y-AXIS Walls'!G118</f>
        <v>0.15732</v>
      </c>
      <c r="M133" s="325">
        <f>if(J133=0,0,L133/J133)</f>
        <v>0.0828</v>
      </c>
      <c r="N133" s="326">
        <f>M133*J133^3/12</f>
        <v>0.0473271</v>
      </c>
      <c r="O133" s="327">
        <f>H133*1000*N133*3/G133^3</f>
        <v>26196.88589</v>
      </c>
      <c r="P133" s="136">
        <f>5/6*L133</f>
        <v>0.1311</v>
      </c>
      <c r="Q133" s="327">
        <f>I133*1000*P133/G133</f>
        <v>81372.41379</v>
      </c>
      <c r="R133" s="327">
        <f>IF(OR(Q133=0,O133=0),0,(1/(1/O133+1/Q133)))</f>
        <v>19817.02814</v>
      </c>
      <c r="S133" s="327">
        <f>R133*D133</f>
        <v>214023.9039</v>
      </c>
      <c r="T133" s="328">
        <f>D133-$G$148</f>
        <v>0.7007165447</v>
      </c>
      <c r="U133" s="329">
        <f>R133*T133^2</f>
        <v>9730.233663</v>
      </c>
      <c r="V133" s="68"/>
      <c r="W133" s="68"/>
      <c r="X133" s="68"/>
      <c r="Y133" s="68"/>
      <c r="Z133" s="331"/>
      <c r="AA133" s="332">
        <f>Z134</f>
        <v>0.2465753425</v>
      </c>
      <c r="AB133" s="333">
        <f>AA133*$AA$143</f>
        <v>183.5998164</v>
      </c>
      <c r="AC133" s="334">
        <f>AB133*$AC$12*$AC$13*$AC$14</f>
        <v>13.76998623</v>
      </c>
    </row>
    <row r="134">
      <c r="B134" s="439">
        <f t="shared" ref="B134:D134" si="81">B27</f>
        <v>10.8</v>
      </c>
      <c r="C134" s="320">
        <f t="shared" si="81"/>
        <v>143.856</v>
      </c>
      <c r="D134" s="321" t="str">
        <f t="shared" si="81"/>
        <v/>
      </c>
      <c r="E134" s="155"/>
      <c r="F134" s="437"/>
      <c r="G134" s="339"/>
      <c r="H134" s="323"/>
      <c r="I134" s="323"/>
      <c r="J134" s="135" t="str">
        <f>'WAP for Y-AXIS Walls'!D119</f>
        <v/>
      </c>
      <c r="K134" s="324"/>
      <c r="L134" s="325"/>
      <c r="M134" s="325"/>
      <c r="N134" s="326"/>
      <c r="O134" s="327"/>
      <c r="P134" s="328"/>
      <c r="Q134" s="327"/>
      <c r="R134" s="327"/>
      <c r="S134" s="327"/>
      <c r="T134" s="328"/>
      <c r="U134" s="329"/>
      <c r="V134" s="68"/>
      <c r="W134" s="68"/>
      <c r="X134" s="68"/>
      <c r="Y134" s="68"/>
      <c r="Z134" s="336">
        <f>'WAP for Y-AXIS Walls'!O119/'WAP for Y-AXIS Walls'!$O$124</f>
        <v>0.2465753425</v>
      </c>
      <c r="AA134" s="332"/>
    </row>
    <row r="135">
      <c r="B135" s="439" t="str">
        <f t="shared" ref="B135:D135" si="82">B28</f>
        <v/>
      </c>
      <c r="C135" s="320" t="str">
        <f t="shared" si="82"/>
        <v/>
      </c>
      <c r="D135" s="321">
        <f t="shared" si="82"/>
        <v>14.4</v>
      </c>
      <c r="E135" s="155">
        <f>'WAP for Y-AXIS Walls'!E120</f>
        <v>0.2</v>
      </c>
      <c r="F135" s="437">
        <f>'WAP for Y-AXIS Walls'!F120</f>
        <v>10</v>
      </c>
      <c r="G135" s="279">
        <v>2.9</v>
      </c>
      <c r="H135" s="323">
        <f>0.5*(('WAP for Y-AXIS Walls'!F120*145.038)*900)/145.038</f>
        <v>4500</v>
      </c>
      <c r="I135" s="323">
        <f t="shared" ref="I135:I136" si="84">H135*0.4</f>
        <v>1800</v>
      </c>
      <c r="J135" s="135">
        <f>'WAP for Y-AXIS Walls'!D120</f>
        <v>3.7</v>
      </c>
      <c r="K135" s="324">
        <f t="shared" ref="K135:K136" si="85">if(J135=0,0,G135/J135)</f>
        <v>0.7837837838</v>
      </c>
      <c r="L135" s="325">
        <f>J135*E135*'WAP for Y-AXIS Walls'!G120</f>
        <v>0.30636</v>
      </c>
      <c r="M135" s="325">
        <f t="shared" ref="M135:M136" si="86">if(J135=0,0,L135/J135)</f>
        <v>0.0828</v>
      </c>
      <c r="N135" s="326">
        <f t="shared" ref="N135:N136" si="87">M135*J135^3/12</f>
        <v>0.3495057</v>
      </c>
      <c r="O135" s="327">
        <f t="shared" ref="O135:O136" si="88">H135*1000*N135*3/G135^3</f>
        <v>193461.2715</v>
      </c>
      <c r="P135" s="136">
        <f t="shared" ref="P135:P136" si="89">5/6*L135</f>
        <v>0.2553</v>
      </c>
      <c r="Q135" s="327">
        <f t="shared" ref="Q135:Q136" si="90">I135*1000*P135/G135</f>
        <v>158462.069</v>
      </c>
      <c r="R135" s="327">
        <f t="shared" ref="R135:R136" si="91">IF(OR(Q135=0,O135=0),0,(1/(1/O135+1/Q135)))</f>
        <v>87110.65684</v>
      </c>
      <c r="S135" s="327">
        <f t="shared" ref="S135:S136" si="92">R135*D135</f>
        <v>1254393.458</v>
      </c>
      <c r="T135" s="328">
        <f t="shared" ref="T135:T136" si="93">D135-$G$148</f>
        <v>4.300716545</v>
      </c>
      <c r="U135" s="329">
        <f t="shared" ref="U135:U136" si="94">R135*T135^2</f>
        <v>1611212.89</v>
      </c>
      <c r="V135" s="68"/>
      <c r="W135" s="68"/>
      <c r="X135" s="68"/>
      <c r="Y135" s="68"/>
      <c r="Z135" s="331"/>
      <c r="AA135" s="332">
        <f>Z137</f>
        <v>0.1301369863</v>
      </c>
      <c r="AB135" s="333">
        <f>AA135*$AA$143</f>
        <v>96.8999031</v>
      </c>
      <c r="AC135" s="334">
        <f t="shared" ref="AC135:AC136" si="95">AB135*$AC$12*$AC$13*$AC$14</f>
        <v>7.267492733</v>
      </c>
    </row>
    <row r="136">
      <c r="B136" s="439" t="str">
        <f t="shared" ref="B136:D136" si="83">B29</f>
        <v/>
      </c>
      <c r="C136" s="320" t="str">
        <f t="shared" si="83"/>
        <v/>
      </c>
      <c r="D136" s="321">
        <f t="shared" si="83"/>
        <v>14.4</v>
      </c>
      <c r="E136" s="155">
        <f>'WAP for Y-AXIS Walls'!E121</f>
        <v>0.2</v>
      </c>
      <c r="F136" s="437">
        <f>'WAP for Y-AXIS Walls'!F121</f>
        <v>10</v>
      </c>
      <c r="G136" s="279">
        <v>2.9</v>
      </c>
      <c r="H136" s="323">
        <f>0.5*(('WAP for Y-AXIS Walls'!F121*145.038)*900)/145.038</f>
        <v>4500</v>
      </c>
      <c r="I136" s="323">
        <f t="shared" si="84"/>
        <v>1800</v>
      </c>
      <c r="J136" s="135">
        <f>'WAP for Y-AXIS Walls'!D121</f>
        <v>0</v>
      </c>
      <c r="K136" s="324">
        <f t="shared" si="85"/>
        <v>0</v>
      </c>
      <c r="L136" s="325">
        <f>J136*E136*'WAP for Y-AXIS Walls'!G121</f>
        <v>0</v>
      </c>
      <c r="M136" s="325">
        <f t="shared" si="86"/>
        <v>0</v>
      </c>
      <c r="N136" s="326">
        <f t="shared" si="87"/>
        <v>0</v>
      </c>
      <c r="O136" s="327">
        <f t="shared" si="88"/>
        <v>0</v>
      </c>
      <c r="P136" s="136">
        <f t="shared" si="89"/>
        <v>0</v>
      </c>
      <c r="Q136" s="327">
        <f t="shared" si="90"/>
        <v>0</v>
      </c>
      <c r="R136" s="327">
        <f t="shared" si="91"/>
        <v>0</v>
      </c>
      <c r="S136" s="327">
        <f t="shared" si="92"/>
        <v>0</v>
      </c>
      <c r="T136" s="328">
        <f t="shared" si="93"/>
        <v>4.300716545</v>
      </c>
      <c r="U136" s="329">
        <f t="shared" si="94"/>
        <v>0</v>
      </c>
      <c r="V136" s="68"/>
      <c r="W136" s="68"/>
      <c r="X136" s="68"/>
      <c r="Y136" s="68"/>
      <c r="Z136" s="336"/>
      <c r="AA136" s="438">
        <v>0.0</v>
      </c>
      <c r="AB136" s="333">
        <f>AA136*'WAP for Y-AXIS Walls'!$I$67</f>
        <v>0</v>
      </c>
      <c r="AC136" s="334">
        <f t="shared" si="95"/>
        <v>0</v>
      </c>
    </row>
    <row r="137">
      <c r="B137" s="439">
        <f t="shared" ref="B137:C137" si="96">B30</f>
        <v>13.55</v>
      </c>
      <c r="C137" s="320">
        <f t="shared" si="96"/>
        <v>95.2565</v>
      </c>
      <c r="D137" s="321"/>
      <c r="E137" s="155"/>
      <c r="F137" s="155" t="str">
        <f>'WAP for Y-AXIS Walls'!E122</f>
        <v/>
      </c>
      <c r="G137" s="286"/>
      <c r="H137" s="324"/>
      <c r="I137" s="82"/>
      <c r="J137" s="135" t="str">
        <f>'WAP for Y-AXIS Walls'!G122</f>
        <v/>
      </c>
      <c r="K137" s="324"/>
      <c r="L137" s="82"/>
      <c r="M137" s="82"/>
      <c r="N137" s="136"/>
      <c r="O137" s="327"/>
      <c r="P137" s="328"/>
      <c r="Q137" s="327"/>
      <c r="R137" s="327"/>
      <c r="S137" s="327"/>
      <c r="T137" s="82"/>
      <c r="U137" s="342"/>
      <c r="V137" s="68"/>
      <c r="W137" s="68"/>
      <c r="X137" s="68"/>
      <c r="Y137" s="68"/>
      <c r="Z137" s="336">
        <f>'WAP for Y-AXIS Walls'!O122/'WAP for Y-AXIS Walls'!$O$124</f>
        <v>0.1301369863</v>
      </c>
      <c r="AA137" s="332"/>
    </row>
    <row r="138">
      <c r="B138" s="156"/>
      <c r="C138" s="343"/>
      <c r="D138" s="344"/>
      <c r="E138" s="440"/>
      <c r="F138" s="440" t="str">
        <f>'WAP for Y-AXIS Walls'!E123</f>
        <v/>
      </c>
      <c r="G138" s="152"/>
      <c r="H138" s="440"/>
      <c r="I138" s="127"/>
      <c r="J138" s="347"/>
      <c r="K138" s="440"/>
      <c r="L138" s="127"/>
      <c r="M138" s="127"/>
      <c r="N138" s="163"/>
      <c r="O138" s="441"/>
      <c r="P138" s="347"/>
      <c r="Q138" s="441"/>
      <c r="R138" s="441"/>
      <c r="S138" s="441"/>
      <c r="T138" s="127"/>
      <c r="U138" s="442"/>
      <c r="V138" s="68"/>
      <c r="W138" s="68"/>
      <c r="X138" s="68"/>
      <c r="Y138" s="68"/>
      <c r="Z138" s="291"/>
      <c r="AA138" s="68"/>
    </row>
    <row r="139">
      <c r="B139" s="345"/>
      <c r="C139" s="346">
        <f>SUM(C126:C138)</f>
        <v>388.944</v>
      </c>
      <c r="D139" s="443" t="str">
        <f>D137</f>
        <v/>
      </c>
      <c r="E139" s="444"/>
      <c r="F139" s="444"/>
      <c r="G139" s="349"/>
      <c r="H139" s="444"/>
      <c r="I139" s="444"/>
      <c r="J139" s="444"/>
      <c r="K139" s="444"/>
      <c r="L139" s="444"/>
      <c r="M139" s="444"/>
      <c r="N139" s="444"/>
      <c r="O139" s="127"/>
      <c r="P139" s="127"/>
      <c r="Q139" s="444"/>
      <c r="R139" s="441">
        <f t="shared" ref="R139:S139" si="97">sum(R126:R138)</f>
        <v>166590.1619</v>
      </c>
      <c r="S139" s="441">
        <f t="shared" si="97"/>
        <v>1682441.266</v>
      </c>
      <c r="T139" s="399" t="s">
        <v>333</v>
      </c>
      <c r="U139" s="445">
        <f>sum(U126:U138)</f>
        <v>4667416.142</v>
      </c>
      <c r="V139" s="68"/>
      <c r="W139" s="68"/>
      <c r="X139" s="68"/>
      <c r="Y139" s="68"/>
      <c r="Z139" s="332">
        <f>sum(Z126:Z138)</f>
        <v>1</v>
      </c>
      <c r="AA139" s="68"/>
      <c r="AB139" s="355">
        <f t="shared" ref="AB139:AC139" si="98">sum(AB126:AB138)</f>
        <v>744.5992554</v>
      </c>
      <c r="AC139" s="356">
        <f t="shared" si="98"/>
        <v>55.84494416</v>
      </c>
    </row>
    <row r="140">
      <c r="B140" s="68"/>
      <c r="C140" s="446">
        <f>C139/'WAP for Y-AXIS Walls'!O124</f>
        <v>7.2</v>
      </c>
      <c r="D140" s="80" t="s">
        <v>334</v>
      </c>
      <c r="E140" s="68"/>
      <c r="F140" s="68"/>
      <c r="G140" s="68"/>
      <c r="H140" s="68"/>
      <c r="I140" s="68"/>
      <c r="J140" s="68"/>
      <c r="K140" s="68"/>
      <c r="L140" s="68"/>
      <c r="M140" s="68"/>
      <c r="N140" s="328"/>
      <c r="Q140" s="77" t="s">
        <v>335</v>
      </c>
      <c r="R140" s="358">
        <f>'Detailed Check X-AXIS Walls'!R141</f>
        <v>108436.4536</v>
      </c>
      <c r="T140" s="80" t="s">
        <v>336</v>
      </c>
      <c r="U140" s="358">
        <f>'Detailed Check X-AXIS Walls'!U141</f>
        <v>332086.6392</v>
      </c>
      <c r="V140" s="68"/>
      <c r="W140" s="68"/>
      <c r="X140" s="68"/>
      <c r="Z140" s="68"/>
      <c r="AB140" s="26" t="s">
        <v>337</v>
      </c>
      <c r="AC140" s="334">
        <f>AB139*$AC$12*$AC$13*$AC$14</f>
        <v>55.84494416</v>
      </c>
    </row>
    <row r="141">
      <c r="B141" s="68"/>
      <c r="C141" s="68"/>
      <c r="D141" s="68"/>
      <c r="E141" s="68"/>
      <c r="F141" s="68"/>
      <c r="G141" s="68"/>
      <c r="H141" s="68"/>
      <c r="I141" s="68"/>
      <c r="J141" s="68"/>
      <c r="K141" s="68"/>
      <c r="L141" s="68"/>
      <c r="M141" s="68"/>
      <c r="N141" s="328"/>
      <c r="O141" s="82"/>
      <c r="P141" s="82"/>
      <c r="Q141" s="68"/>
      <c r="R141" s="68"/>
      <c r="T141" s="80" t="s">
        <v>338</v>
      </c>
      <c r="U141" s="327">
        <f>U139+U140</f>
        <v>4999502.782</v>
      </c>
      <c r="V141" s="68"/>
      <c r="W141" s="68"/>
      <c r="X141" s="68"/>
      <c r="Z141" s="71" t="s">
        <v>339</v>
      </c>
      <c r="AA141" s="333">
        <f>'WAP for Y-AXIS Walls'!$I$67</f>
        <v>1153.719725</v>
      </c>
      <c r="AB141" s="26" t="s">
        <v>340</v>
      </c>
      <c r="AC141" s="333">
        <f>'WAP for Y-AXIS Walls'!I154</f>
        <v>435.8568527</v>
      </c>
    </row>
    <row r="142">
      <c r="L142" s="82"/>
      <c r="M142" s="82"/>
      <c r="N142" s="68"/>
      <c r="O142" s="68"/>
      <c r="P142" s="68"/>
      <c r="Q142" s="68"/>
      <c r="R142" s="68"/>
      <c r="S142" s="68"/>
      <c r="T142" s="68"/>
      <c r="U142" s="68"/>
      <c r="V142" s="68"/>
      <c r="W142" s="68"/>
      <c r="X142" s="68"/>
      <c r="Z142" s="26" t="s">
        <v>497</v>
      </c>
      <c r="AA142" s="337">
        <f>1.82/2.82</f>
        <v>0.6453900709</v>
      </c>
      <c r="AB142" s="26" t="s">
        <v>157</v>
      </c>
      <c r="AC142" s="390">
        <f>AC140/AC141</f>
        <v>0.1281268008</v>
      </c>
    </row>
    <row r="143">
      <c r="L143" s="68"/>
      <c r="M143" s="68"/>
      <c r="N143" s="68"/>
      <c r="O143" s="68"/>
      <c r="P143" s="68"/>
      <c r="Q143" s="68"/>
      <c r="R143" s="68"/>
      <c r="S143" s="68"/>
      <c r="T143" s="68"/>
      <c r="U143" s="68"/>
      <c r="V143" s="68"/>
      <c r="W143" s="68"/>
      <c r="X143" s="68"/>
      <c r="AA143" s="333">
        <f>AA141*AA142</f>
        <v>744.5992554</v>
      </c>
      <c r="AB143" s="26" t="s">
        <v>341</v>
      </c>
      <c r="AC143" s="26">
        <v>1.1</v>
      </c>
    </row>
    <row r="144">
      <c r="B144" s="363" t="s">
        <v>342</v>
      </c>
      <c r="C144" s="364"/>
      <c r="D144" s="364"/>
      <c r="E144" s="364"/>
      <c r="F144" s="364"/>
      <c r="G144" s="68"/>
      <c r="H144" s="68"/>
      <c r="I144" s="68"/>
      <c r="J144" s="68"/>
      <c r="K144" s="328"/>
      <c r="L144" s="68"/>
      <c r="M144" s="68"/>
      <c r="N144" s="68"/>
      <c r="O144" s="68"/>
      <c r="P144" s="68"/>
      <c r="Q144" s="68"/>
      <c r="R144" s="68"/>
      <c r="S144" s="68"/>
      <c r="T144" s="68"/>
      <c r="U144" s="68"/>
      <c r="V144" s="68"/>
      <c r="W144" s="68"/>
      <c r="X144" s="68"/>
      <c r="Z144" s="26" t="s">
        <v>498</v>
      </c>
    </row>
    <row r="145">
      <c r="B145" s="365"/>
      <c r="C145" s="366"/>
      <c r="D145" s="364"/>
      <c r="E145" s="364"/>
      <c r="F145" s="364"/>
      <c r="G145" s="367"/>
      <c r="H145" s="68"/>
      <c r="I145" s="68"/>
      <c r="J145" s="68"/>
      <c r="K145" s="68"/>
      <c r="N145" s="68"/>
      <c r="O145" s="68"/>
      <c r="P145" s="68"/>
      <c r="Q145" s="68"/>
      <c r="R145" s="68"/>
      <c r="S145" s="68"/>
      <c r="T145" s="68"/>
      <c r="U145" s="68"/>
      <c r="V145" s="68"/>
      <c r="W145" s="68"/>
      <c r="X145" s="68"/>
    </row>
    <row r="146">
      <c r="B146" s="68"/>
      <c r="N146" s="68"/>
      <c r="O146" s="68"/>
      <c r="P146" s="68"/>
      <c r="Q146" s="68"/>
      <c r="R146" s="68"/>
      <c r="S146" s="68"/>
      <c r="T146" s="68"/>
      <c r="U146" s="68"/>
      <c r="V146" s="68"/>
      <c r="W146" s="68"/>
      <c r="X146" s="68"/>
    </row>
    <row r="147">
      <c r="B147" s="328"/>
      <c r="C147" s="68"/>
      <c r="D147" s="68"/>
      <c r="E147" s="70"/>
      <c r="F147" s="70"/>
      <c r="G147" s="328"/>
      <c r="H147" s="80"/>
      <c r="I147" s="71"/>
      <c r="J147" s="68"/>
      <c r="K147" s="68"/>
      <c r="N147" s="68"/>
      <c r="O147" s="68"/>
      <c r="P147" s="68"/>
      <c r="Q147" s="68"/>
      <c r="R147" s="68"/>
      <c r="S147" s="68"/>
      <c r="T147" s="68"/>
      <c r="U147" s="68"/>
      <c r="V147" s="68"/>
      <c r="W147" s="68"/>
      <c r="X147" s="68"/>
    </row>
    <row r="148">
      <c r="B148" s="328"/>
      <c r="C148" s="82"/>
      <c r="D148" s="68"/>
      <c r="E148" s="70"/>
      <c r="F148" s="70" t="s">
        <v>499</v>
      </c>
      <c r="G148" s="328">
        <f>S139/R139</f>
        <v>10.09928346</v>
      </c>
      <c r="H148" s="80" t="s">
        <v>344</v>
      </c>
      <c r="I148" s="68"/>
      <c r="J148" s="71" t="s">
        <v>500</v>
      </c>
      <c r="K148" s="68"/>
      <c r="N148" s="68"/>
      <c r="O148" s="68"/>
      <c r="P148" s="68"/>
      <c r="Q148" s="68"/>
      <c r="R148" s="68"/>
      <c r="S148" s="68"/>
      <c r="T148" s="68"/>
      <c r="U148" s="68"/>
      <c r="V148" s="68"/>
      <c r="W148" s="68"/>
      <c r="X148" s="68"/>
    </row>
    <row r="149">
      <c r="B149" s="328"/>
      <c r="C149" s="82"/>
      <c r="D149" s="68"/>
      <c r="E149" s="70"/>
      <c r="F149" s="70" t="s">
        <v>345</v>
      </c>
      <c r="G149" s="328">
        <f>'WAP for Y-AXIS Walls'!I154/R139*1000</f>
        <v>2.616342092</v>
      </c>
      <c r="H149" s="43" t="s">
        <v>346</v>
      </c>
      <c r="I149" s="71" t="s">
        <v>347</v>
      </c>
      <c r="J149" s="68"/>
      <c r="K149" s="68"/>
      <c r="N149" s="68"/>
      <c r="O149" s="68"/>
      <c r="P149" s="68"/>
      <c r="Q149" s="68"/>
      <c r="R149" s="68"/>
      <c r="S149" s="68"/>
      <c r="T149" s="68"/>
      <c r="U149" s="68"/>
      <c r="V149" s="68"/>
      <c r="W149" s="68"/>
      <c r="X149" s="68"/>
    </row>
    <row r="150">
      <c r="B150" s="328"/>
      <c r="C150" s="82"/>
      <c r="D150" s="68"/>
      <c r="E150" s="70"/>
      <c r="F150" s="70" t="s">
        <v>348</v>
      </c>
      <c r="G150" s="328">
        <f>C140</f>
        <v>7.2</v>
      </c>
      <c r="H150" s="43" t="s">
        <v>84</v>
      </c>
      <c r="I150" s="68"/>
      <c r="J150" s="68"/>
      <c r="K150" s="68"/>
      <c r="N150" s="68"/>
      <c r="O150" s="68"/>
      <c r="P150" s="68"/>
      <c r="Q150" s="68"/>
      <c r="R150" s="68"/>
      <c r="S150" s="68"/>
      <c r="T150" s="68"/>
      <c r="U150" s="68"/>
      <c r="V150" s="68"/>
      <c r="W150" s="68"/>
      <c r="X150" s="68"/>
    </row>
    <row r="151">
      <c r="B151" s="328"/>
      <c r="C151" s="82"/>
      <c r="D151" s="68"/>
      <c r="E151" s="70"/>
      <c r="F151" s="70" t="s">
        <v>349</v>
      </c>
      <c r="G151" s="328">
        <f>G150-G148</f>
        <v>-2.899283455</v>
      </c>
      <c r="H151" s="80" t="s">
        <v>344</v>
      </c>
      <c r="I151" s="71" t="s">
        <v>350</v>
      </c>
      <c r="J151" s="68"/>
      <c r="K151" s="68"/>
      <c r="N151" s="68"/>
      <c r="O151" s="68"/>
      <c r="P151" s="68"/>
      <c r="Q151" s="68"/>
      <c r="R151" s="68"/>
      <c r="S151" s="68"/>
      <c r="T151" s="68"/>
      <c r="U151" s="68"/>
      <c r="V151" s="68"/>
      <c r="W151" s="68"/>
      <c r="X151" s="68"/>
    </row>
    <row r="152">
      <c r="B152" s="328"/>
      <c r="C152" s="82"/>
      <c r="D152" s="68"/>
      <c r="E152" s="71"/>
      <c r="F152" s="77" t="s">
        <v>351</v>
      </c>
      <c r="G152" s="97">
        <f>D115</f>
        <v>14.6</v>
      </c>
      <c r="H152" s="71" t="s">
        <v>84</v>
      </c>
      <c r="I152" s="68"/>
      <c r="J152" s="68"/>
      <c r="K152" s="68"/>
      <c r="L152" s="68"/>
      <c r="M152" s="68"/>
      <c r="N152" s="68"/>
      <c r="O152" s="68"/>
      <c r="P152" s="68"/>
      <c r="Q152" s="68"/>
      <c r="R152" s="68"/>
      <c r="S152" s="68"/>
      <c r="T152" s="68"/>
      <c r="U152" s="68"/>
      <c r="V152" s="68"/>
      <c r="W152" s="68"/>
      <c r="X152" s="68"/>
    </row>
    <row r="153">
      <c r="C153" s="82"/>
      <c r="D153" s="68"/>
      <c r="E153" s="70"/>
      <c r="F153" s="70" t="s">
        <v>352</v>
      </c>
      <c r="G153" s="368">
        <f>G151/G152</f>
        <v>-0.1985810586</v>
      </c>
      <c r="H153" s="71" t="s">
        <v>353</v>
      </c>
      <c r="I153" s="71" t="s">
        <v>354</v>
      </c>
      <c r="J153" s="68"/>
      <c r="K153" s="68"/>
      <c r="L153" s="68"/>
      <c r="M153" s="68"/>
      <c r="N153" s="68"/>
      <c r="O153" s="68"/>
      <c r="P153" s="68"/>
      <c r="Q153" s="68"/>
      <c r="R153" s="68"/>
      <c r="S153" s="68"/>
      <c r="T153" s="68"/>
      <c r="U153" s="68"/>
      <c r="V153" s="68"/>
      <c r="W153" s="68"/>
      <c r="X153" s="68"/>
    </row>
    <row r="154">
      <c r="K154" s="68"/>
      <c r="L154" s="68"/>
      <c r="M154" s="68"/>
      <c r="N154" s="68"/>
      <c r="O154" s="68"/>
      <c r="P154" s="68"/>
      <c r="Q154" s="68"/>
      <c r="R154" s="68"/>
      <c r="S154" s="68"/>
      <c r="T154" s="68"/>
      <c r="U154" s="68"/>
      <c r="V154" s="68"/>
      <c r="W154" s="68"/>
      <c r="X154" s="68"/>
    </row>
    <row r="155">
      <c r="J155" s="68"/>
      <c r="K155" s="68"/>
      <c r="L155" s="68"/>
      <c r="M155" s="68"/>
      <c r="N155" s="68"/>
      <c r="O155" s="68"/>
      <c r="P155" s="68"/>
      <c r="Q155" s="68"/>
      <c r="R155" s="68"/>
      <c r="S155" s="68"/>
      <c r="T155" s="68"/>
      <c r="U155" s="68"/>
      <c r="V155" s="68"/>
      <c r="W155" s="68"/>
      <c r="X155" s="68"/>
    </row>
    <row r="156">
      <c r="J156" s="68"/>
      <c r="K156" s="68"/>
      <c r="L156" s="68"/>
      <c r="M156" s="68"/>
      <c r="N156" s="68"/>
      <c r="O156" s="68"/>
      <c r="P156" s="68"/>
      <c r="Q156" s="68"/>
      <c r="R156" s="68"/>
      <c r="S156" s="68"/>
      <c r="T156" s="68"/>
      <c r="U156" s="68"/>
      <c r="V156" s="68"/>
      <c r="W156" s="68"/>
      <c r="X156" s="68"/>
    </row>
    <row r="157">
      <c r="J157" s="68"/>
      <c r="K157" s="68"/>
      <c r="L157" s="68"/>
      <c r="M157" s="68"/>
      <c r="N157" s="68"/>
      <c r="O157" s="68"/>
      <c r="P157" s="68"/>
      <c r="Q157" s="68"/>
      <c r="R157" s="68"/>
      <c r="S157" s="68"/>
      <c r="T157" s="68"/>
      <c r="U157" s="68"/>
      <c r="V157" s="68"/>
      <c r="W157" s="68"/>
      <c r="X157" s="68"/>
    </row>
    <row r="158">
      <c r="J158" s="68"/>
      <c r="K158" s="68"/>
      <c r="L158" s="68"/>
      <c r="M158" s="68"/>
      <c r="N158" s="68"/>
      <c r="O158" s="68"/>
      <c r="P158" s="68"/>
      <c r="Q158" s="68"/>
      <c r="R158" s="68"/>
      <c r="S158" s="68"/>
      <c r="T158" s="68"/>
      <c r="U158" s="68"/>
      <c r="V158" s="68"/>
      <c r="W158" s="68"/>
      <c r="X158" s="68"/>
    </row>
    <row r="159">
      <c r="A159" s="47"/>
      <c r="B159" s="43"/>
      <c r="C159" s="44"/>
      <c r="D159" s="43"/>
      <c r="E159" s="43"/>
      <c r="F159" s="43"/>
      <c r="G159" s="43"/>
      <c r="H159" s="68"/>
      <c r="I159" s="68"/>
      <c r="J159" s="68"/>
      <c r="K159" s="68"/>
      <c r="L159" s="68"/>
      <c r="M159" s="68"/>
      <c r="N159" s="68"/>
      <c r="O159" s="45"/>
      <c r="P159" s="43"/>
      <c r="Q159" s="43"/>
      <c r="R159" s="43"/>
      <c r="S159" s="68"/>
      <c r="T159" s="68"/>
      <c r="U159" s="68"/>
      <c r="V159" s="68"/>
      <c r="W159" s="68"/>
      <c r="X159" s="68"/>
    </row>
    <row r="160">
      <c r="A160" s="47"/>
      <c r="B160" s="49" t="s">
        <v>75</v>
      </c>
      <c r="C160" s="50"/>
      <c r="D160" s="51"/>
      <c r="E160" s="51"/>
      <c r="F160" s="51"/>
      <c r="G160" s="51"/>
      <c r="H160" s="51"/>
      <c r="I160" s="51"/>
      <c r="J160" s="51"/>
      <c r="K160" s="51"/>
      <c r="L160" s="51"/>
      <c r="M160" s="51"/>
      <c r="N160" s="52" t="s">
        <v>76</v>
      </c>
      <c r="O160" s="52"/>
      <c r="P160" s="51"/>
      <c r="Q160" s="51"/>
      <c r="R160" s="51"/>
      <c r="S160" s="68"/>
      <c r="T160" s="68"/>
      <c r="U160" s="68"/>
      <c r="V160" s="68"/>
      <c r="W160" s="68"/>
      <c r="X160" s="68"/>
    </row>
    <row r="161">
      <c r="A161" s="47"/>
      <c r="B161" s="49" t="s">
        <v>77</v>
      </c>
      <c r="C161" s="55" t="s">
        <v>78</v>
      </c>
      <c r="D161" s="56"/>
      <c r="E161" s="51"/>
      <c r="F161" s="51"/>
      <c r="G161" s="51"/>
      <c r="H161" s="51"/>
      <c r="I161" s="51"/>
      <c r="J161" s="51"/>
      <c r="K161" s="51"/>
      <c r="L161" s="51"/>
      <c r="M161" s="51"/>
      <c r="N161" s="57" t="s">
        <v>79</v>
      </c>
      <c r="O161" s="57"/>
      <c r="P161" s="51"/>
      <c r="Q161" s="51"/>
      <c r="R161" s="51"/>
      <c r="S161" s="68"/>
      <c r="T161" s="68"/>
      <c r="U161" s="68"/>
      <c r="V161" s="68"/>
      <c r="W161" s="68"/>
      <c r="X161" s="68"/>
    </row>
    <row r="162">
      <c r="A162" s="47"/>
      <c r="B162" s="51"/>
      <c r="C162" s="52"/>
      <c r="D162" s="56"/>
      <c r="E162" s="51"/>
      <c r="F162" s="51"/>
      <c r="G162" s="51"/>
      <c r="H162" s="51"/>
      <c r="I162" s="51"/>
      <c r="J162" s="51"/>
      <c r="K162" s="51"/>
      <c r="L162" s="51"/>
      <c r="M162" s="51"/>
      <c r="N162" s="57" t="s">
        <v>80</v>
      </c>
      <c r="O162" s="57"/>
      <c r="P162" s="51"/>
      <c r="Q162" s="51"/>
      <c r="R162" s="51"/>
      <c r="S162" s="68"/>
      <c r="T162" s="68"/>
      <c r="U162" s="68"/>
      <c r="V162" s="68"/>
      <c r="W162" s="68"/>
      <c r="X162" s="68"/>
    </row>
    <row r="163">
      <c r="A163" s="33"/>
      <c r="B163" s="43"/>
      <c r="C163" s="45"/>
      <c r="D163" s="43"/>
      <c r="E163" s="43"/>
      <c r="F163" s="43"/>
      <c r="G163" s="43"/>
      <c r="H163" s="43"/>
      <c r="I163" s="43"/>
      <c r="J163" s="43"/>
      <c r="K163" s="43"/>
      <c r="L163" s="43"/>
      <c r="M163" s="43"/>
      <c r="N163" s="43"/>
      <c r="O163" s="43"/>
      <c r="P163" s="43"/>
      <c r="Q163" s="43"/>
      <c r="R163" s="43"/>
      <c r="S163" s="68"/>
      <c r="T163" s="68"/>
      <c r="U163" s="68"/>
      <c r="V163" s="68"/>
      <c r="W163" s="68"/>
      <c r="X163" s="68"/>
    </row>
    <row r="164">
      <c r="B164" s="68"/>
      <c r="C164" s="68"/>
      <c r="D164" s="68"/>
      <c r="E164" s="68"/>
      <c r="F164" s="68"/>
      <c r="G164" s="68"/>
      <c r="H164" s="68"/>
      <c r="I164" s="68"/>
      <c r="J164" s="68"/>
      <c r="K164" s="68"/>
      <c r="L164" s="68"/>
      <c r="M164" s="68"/>
      <c r="N164" s="68"/>
      <c r="O164" s="68"/>
      <c r="P164" s="68"/>
      <c r="Q164" s="68"/>
      <c r="R164" s="68"/>
      <c r="S164" s="68"/>
      <c r="T164" s="68"/>
      <c r="U164" s="68"/>
      <c r="V164" s="68"/>
      <c r="W164" s="68"/>
      <c r="X164" s="68"/>
    </row>
    <row r="165">
      <c r="B165" s="68"/>
      <c r="C165" s="68"/>
      <c r="D165" s="68"/>
      <c r="E165" s="68"/>
      <c r="F165" s="68"/>
      <c r="G165" s="68"/>
      <c r="H165" s="68"/>
      <c r="I165" s="68"/>
      <c r="J165" s="68"/>
      <c r="K165" s="68"/>
      <c r="L165" s="68"/>
      <c r="M165" s="68"/>
      <c r="N165" s="68"/>
      <c r="O165" s="68"/>
      <c r="P165" s="68"/>
      <c r="Q165" s="68"/>
      <c r="R165" s="68"/>
      <c r="S165" s="68"/>
      <c r="T165" s="68"/>
      <c r="U165" s="68"/>
      <c r="V165" s="68"/>
      <c r="W165" s="68"/>
      <c r="X165" s="68"/>
    </row>
    <row r="166">
      <c r="B166" s="114" t="s">
        <v>355</v>
      </c>
      <c r="C166" s="68"/>
      <c r="D166" s="369"/>
      <c r="E166" s="68"/>
      <c r="F166" s="68"/>
      <c r="G166" s="68"/>
      <c r="H166" s="68"/>
      <c r="I166" s="68"/>
      <c r="J166" s="114" t="s">
        <v>356</v>
      </c>
      <c r="K166" s="68"/>
      <c r="L166" s="68"/>
      <c r="M166" s="68"/>
      <c r="N166" s="68"/>
      <c r="O166" s="68"/>
      <c r="P166" s="68"/>
      <c r="Q166" s="68"/>
      <c r="R166" s="68"/>
      <c r="S166" s="68"/>
      <c r="T166" s="68"/>
      <c r="U166" s="68"/>
      <c r="V166" s="68"/>
      <c r="W166" s="68"/>
      <c r="X166" s="68"/>
    </row>
    <row r="167">
      <c r="B167" s="114" t="s">
        <v>357</v>
      </c>
      <c r="C167" s="68"/>
      <c r="D167" s="369"/>
      <c r="E167" s="68"/>
      <c r="F167" s="68"/>
      <c r="G167" s="68"/>
      <c r="H167" s="68"/>
      <c r="I167" s="68"/>
      <c r="J167" s="114" t="s">
        <v>357</v>
      </c>
      <c r="K167" s="68"/>
      <c r="L167" s="68"/>
      <c r="M167" s="68"/>
      <c r="N167" s="68"/>
      <c r="O167" s="68"/>
      <c r="P167" s="68"/>
      <c r="Q167" s="114" t="s">
        <v>358</v>
      </c>
      <c r="R167" s="68"/>
      <c r="S167" s="68"/>
      <c r="T167" s="68"/>
      <c r="U167" s="68"/>
      <c r="V167" s="68"/>
      <c r="W167" s="68"/>
      <c r="X167" s="68"/>
    </row>
    <row r="168">
      <c r="B168" s="114" t="s">
        <v>359</v>
      </c>
      <c r="C168" s="68"/>
      <c r="D168" s="68"/>
      <c r="E168" s="68"/>
      <c r="F168" s="68"/>
      <c r="G168" s="68"/>
      <c r="H168" s="68"/>
      <c r="I168" s="68"/>
      <c r="J168" s="114" t="s">
        <v>359</v>
      </c>
      <c r="K168" s="68"/>
      <c r="L168" s="68"/>
      <c r="M168" s="68"/>
      <c r="N168" s="68"/>
      <c r="O168" s="68"/>
      <c r="P168" s="68"/>
      <c r="Q168" s="114" t="s">
        <v>360</v>
      </c>
      <c r="R168" s="68"/>
      <c r="S168" s="68"/>
      <c r="T168" s="68"/>
      <c r="U168" s="68"/>
      <c r="V168" s="68"/>
      <c r="W168" s="68"/>
      <c r="X168" s="68"/>
    </row>
    <row r="169">
      <c r="B169" s="370" t="s">
        <v>361</v>
      </c>
      <c r="C169" s="100" t="s">
        <v>362</v>
      </c>
      <c r="D169" s="101" t="s">
        <v>363</v>
      </c>
      <c r="E169" s="303" t="s">
        <v>364</v>
      </c>
      <c r="F169" s="303" t="s">
        <v>114</v>
      </c>
      <c r="G169" s="303" t="s">
        <v>114</v>
      </c>
      <c r="H169" s="101" t="s">
        <v>365</v>
      </c>
      <c r="I169" s="371"/>
      <c r="J169" s="100" t="s">
        <v>362</v>
      </c>
      <c r="K169" s="101" t="s">
        <v>363</v>
      </c>
      <c r="L169" s="303" t="s">
        <v>364</v>
      </c>
      <c r="M169" s="303" t="s">
        <v>114</v>
      </c>
      <c r="N169" s="303" t="s">
        <v>114</v>
      </c>
      <c r="O169" s="101" t="s">
        <v>365</v>
      </c>
      <c r="P169" s="371"/>
      <c r="Q169" s="100" t="s">
        <v>366</v>
      </c>
      <c r="R169" s="101" t="s">
        <v>367</v>
      </c>
      <c r="S169" s="101" t="s">
        <v>368</v>
      </c>
      <c r="T169" s="303" t="s">
        <v>114</v>
      </c>
      <c r="U169" s="303" t="s">
        <v>369</v>
      </c>
      <c r="V169" s="101" t="s">
        <v>365</v>
      </c>
      <c r="W169" s="371"/>
      <c r="X169" s="110"/>
      <c r="Y169" s="26" t="s">
        <v>370</v>
      </c>
      <c r="Z169" s="26" t="s">
        <v>371</v>
      </c>
      <c r="AA169" s="26" t="s">
        <v>372</v>
      </c>
      <c r="AB169" s="26" t="s">
        <v>372</v>
      </c>
      <c r="AC169" s="26" t="s">
        <v>372</v>
      </c>
      <c r="AD169" s="26" t="s">
        <v>372</v>
      </c>
      <c r="AE169" s="26" t="s">
        <v>373</v>
      </c>
      <c r="AF169" s="26" t="s">
        <v>372</v>
      </c>
      <c r="AG169" s="26" t="s">
        <v>374</v>
      </c>
      <c r="AH169" s="26" t="s">
        <v>374</v>
      </c>
      <c r="AI169" s="26" t="s">
        <v>375</v>
      </c>
      <c r="AJ169" s="26" t="s">
        <v>376</v>
      </c>
      <c r="AK169" s="26" t="s">
        <v>375</v>
      </c>
      <c r="AL169" s="26" t="s">
        <v>376</v>
      </c>
      <c r="AM169" s="26" t="s">
        <v>377</v>
      </c>
    </row>
    <row r="170">
      <c r="B170" s="372" t="s">
        <v>378</v>
      </c>
      <c r="C170" s="306" t="s">
        <v>379</v>
      </c>
      <c r="D170" s="111" t="s">
        <v>379</v>
      </c>
      <c r="E170" s="111" t="s">
        <v>380</v>
      </c>
      <c r="F170" s="110" t="s">
        <v>381</v>
      </c>
      <c r="G170" s="111" t="s">
        <v>361</v>
      </c>
      <c r="H170" s="111" t="s">
        <v>114</v>
      </c>
      <c r="I170" s="112" t="s">
        <v>382</v>
      </c>
      <c r="J170" s="306" t="s">
        <v>379</v>
      </c>
      <c r="K170" s="111" t="s">
        <v>379</v>
      </c>
      <c r="L170" s="111" t="s">
        <v>380</v>
      </c>
      <c r="M170" s="110" t="s">
        <v>381</v>
      </c>
      <c r="N170" s="111" t="s">
        <v>361</v>
      </c>
      <c r="O170" s="111" t="s">
        <v>114</v>
      </c>
      <c r="P170" s="112" t="s">
        <v>382</v>
      </c>
      <c r="Q170" s="306" t="s">
        <v>298</v>
      </c>
      <c r="R170" s="115" t="s">
        <v>383</v>
      </c>
      <c r="S170" s="111" t="s">
        <v>384</v>
      </c>
      <c r="T170" s="111" t="s">
        <v>385</v>
      </c>
      <c r="U170" s="111" t="s">
        <v>386</v>
      </c>
      <c r="V170" s="111" t="s">
        <v>114</v>
      </c>
      <c r="W170" s="112" t="s">
        <v>382</v>
      </c>
      <c r="X170" s="110"/>
      <c r="Y170" s="26" t="s">
        <v>387</v>
      </c>
      <c r="Z170" s="26" t="s">
        <v>388</v>
      </c>
      <c r="AB170" s="26" t="s">
        <v>389</v>
      </c>
      <c r="AC170" s="26" t="s">
        <v>390</v>
      </c>
      <c r="AD170" s="26" t="s">
        <v>391</v>
      </c>
      <c r="AE170" s="26" t="s">
        <v>392</v>
      </c>
      <c r="AF170" s="26" t="s">
        <v>393</v>
      </c>
      <c r="AG170" s="26" t="s">
        <v>394</v>
      </c>
      <c r="AH170" s="26" t="s">
        <v>395</v>
      </c>
      <c r="AI170" s="26" t="s">
        <v>374</v>
      </c>
      <c r="AJ170" s="26" t="s">
        <v>396</v>
      </c>
      <c r="AM170" s="26" t="s">
        <v>397</v>
      </c>
      <c r="AN170" s="26" t="s">
        <v>398</v>
      </c>
    </row>
    <row r="171">
      <c r="B171" s="372" t="s">
        <v>399</v>
      </c>
      <c r="C171" s="306" t="s">
        <v>400</v>
      </c>
      <c r="D171" s="111" t="s">
        <v>401</v>
      </c>
      <c r="E171" s="115" t="s">
        <v>402</v>
      </c>
      <c r="F171" s="111" t="s">
        <v>403</v>
      </c>
      <c r="G171" s="111" t="s">
        <v>404</v>
      </c>
      <c r="H171" s="110" t="s">
        <v>405</v>
      </c>
      <c r="I171" s="373"/>
      <c r="J171" s="306" t="s">
        <v>400</v>
      </c>
      <c r="K171" s="111" t="s">
        <v>401</v>
      </c>
      <c r="L171" s="115" t="s">
        <v>402</v>
      </c>
      <c r="M171" s="111" t="s">
        <v>403</v>
      </c>
      <c r="N171" s="111" t="s">
        <v>404</v>
      </c>
      <c r="O171" s="110" t="s">
        <v>405</v>
      </c>
      <c r="P171" s="373"/>
      <c r="Q171" s="306" t="s">
        <v>406</v>
      </c>
      <c r="R171" s="111" t="s">
        <v>407</v>
      </c>
      <c r="S171" s="111" t="s">
        <v>408</v>
      </c>
      <c r="T171" s="111" t="s">
        <v>403</v>
      </c>
      <c r="U171" s="111" t="s">
        <v>404</v>
      </c>
      <c r="V171" s="110" t="s">
        <v>405</v>
      </c>
      <c r="W171" s="373"/>
      <c r="X171" s="110"/>
      <c r="Y171" s="26" t="s">
        <v>409</v>
      </c>
      <c r="Z171" s="26" t="s">
        <v>410</v>
      </c>
      <c r="AD171" s="26" t="s">
        <v>411</v>
      </c>
      <c r="AE171" s="374">
        <f>AE174*AE172</f>
        <v>60915.96</v>
      </c>
      <c r="AF171" s="26" t="s">
        <v>412</v>
      </c>
      <c r="AG171" s="26" t="s">
        <v>413</v>
      </c>
      <c r="AH171" s="26" t="s">
        <v>414</v>
      </c>
      <c r="AI171" s="26" t="s">
        <v>415</v>
      </c>
      <c r="AJ171" s="26" t="s">
        <v>416</v>
      </c>
      <c r="AM171" s="26" t="s">
        <v>417</v>
      </c>
      <c r="AN171" s="26" t="s">
        <v>418</v>
      </c>
    </row>
    <row r="172">
      <c r="B172" s="372" t="s">
        <v>419</v>
      </c>
      <c r="C172" s="306" t="s">
        <v>346</v>
      </c>
      <c r="D172" s="111" t="s">
        <v>346</v>
      </c>
      <c r="E172" s="111" t="s">
        <v>420</v>
      </c>
      <c r="F172" s="375">
        <f>if('WAP for Y-AXIS Walls'!I160/'WAP for Y-AXIS Walls'!I159&lt;1,1,'WAP for Y-AXIS Walls'!I160/'WAP for Y-AXIS Walls'!I159)</f>
        <v>1</v>
      </c>
      <c r="G172" s="118"/>
      <c r="H172" s="118"/>
      <c r="I172" s="309"/>
      <c r="J172" s="306" t="s">
        <v>346</v>
      </c>
      <c r="K172" s="111" t="s">
        <v>346</v>
      </c>
      <c r="L172" s="111" t="s">
        <v>420</v>
      </c>
      <c r="M172" s="375">
        <f>if('WAP for Y-AXIS Walls'!I160/'WAP for Y-AXIS Walls'!I159&lt;1,1,'WAP for Y-AXIS Walls'!I160/'WAP for Y-AXIS Walls'!I159)</f>
        <v>1</v>
      </c>
      <c r="N172" s="118"/>
      <c r="O172" s="118"/>
      <c r="P172" s="309"/>
      <c r="Q172" s="113" t="s">
        <v>501</v>
      </c>
      <c r="R172" s="115" t="s">
        <v>422</v>
      </c>
      <c r="S172" s="115" t="s">
        <v>423</v>
      </c>
      <c r="T172" s="375">
        <f>if('WAP for Y-AXIS Walls'!I160/'WAP for Y-AXIS Walls'!I159&lt;1,1,'WAP for Y-AXIS Walls'!I160/'WAP for Y-AXIS Walls'!I159)</f>
        <v>1</v>
      </c>
      <c r="U172" s="118"/>
      <c r="V172" s="118"/>
      <c r="W172" s="309"/>
      <c r="X172" s="118"/>
      <c r="Y172" s="26" t="s">
        <v>424</v>
      </c>
      <c r="Z172" s="26" t="s">
        <v>425</v>
      </c>
      <c r="AD172" s="26" t="s">
        <v>426</v>
      </c>
      <c r="AE172" s="26">
        <v>145.038</v>
      </c>
      <c r="AF172" s="26" t="s">
        <v>427</v>
      </c>
      <c r="AG172" s="26" t="s">
        <v>428</v>
      </c>
      <c r="AI172" s="26" t="s">
        <v>414</v>
      </c>
      <c r="AJ172" s="26" t="s">
        <v>429</v>
      </c>
      <c r="AM172" s="26" t="s">
        <v>430</v>
      </c>
      <c r="AN172" s="26">
        <v>0.1</v>
      </c>
    </row>
    <row r="173">
      <c r="B173" s="376" t="s">
        <v>432</v>
      </c>
      <c r="C173" s="377" t="s">
        <v>502</v>
      </c>
      <c r="D173" s="378" t="s">
        <v>434</v>
      </c>
      <c r="E173" s="378" t="s">
        <v>435</v>
      </c>
      <c r="F173" s="379" t="s">
        <v>436</v>
      </c>
      <c r="G173" s="378" t="s">
        <v>503</v>
      </c>
      <c r="H173" s="380" t="s">
        <v>438</v>
      </c>
      <c r="I173" s="122"/>
      <c r="J173" s="377" t="s">
        <v>504</v>
      </c>
      <c r="K173" s="378" t="s">
        <v>434</v>
      </c>
      <c r="L173" s="378" t="s">
        <v>435</v>
      </c>
      <c r="M173" s="379" t="s">
        <v>436</v>
      </c>
      <c r="N173" s="378" t="s">
        <v>505</v>
      </c>
      <c r="O173" s="380" t="s">
        <v>438</v>
      </c>
      <c r="P173" s="120"/>
      <c r="Q173" s="377" t="s">
        <v>506</v>
      </c>
      <c r="R173" s="381" t="s">
        <v>507</v>
      </c>
      <c r="S173" s="380" t="s">
        <v>508</v>
      </c>
      <c r="T173" s="380" t="s">
        <v>509</v>
      </c>
      <c r="U173" s="379" t="s">
        <v>510</v>
      </c>
      <c r="V173" s="380" t="s">
        <v>511</v>
      </c>
      <c r="W173" s="122"/>
      <c r="X173" s="118"/>
      <c r="Y173" s="26" t="s">
        <v>199</v>
      </c>
      <c r="Z173" s="26" t="s">
        <v>199</v>
      </c>
      <c r="AB173" s="26" t="s">
        <v>447</v>
      </c>
      <c r="AC173" s="26" t="s">
        <v>186</v>
      </c>
      <c r="AD173" s="26" t="s">
        <v>84</v>
      </c>
      <c r="AE173" s="26" t="s">
        <v>186</v>
      </c>
      <c r="AF173" s="26" t="s">
        <v>199</v>
      </c>
      <c r="AG173" s="26" t="s">
        <v>199</v>
      </c>
      <c r="AH173" s="26" t="s">
        <v>183</v>
      </c>
      <c r="AI173" s="26" t="s">
        <v>199</v>
      </c>
      <c r="AJ173" s="26" t="s">
        <v>199</v>
      </c>
      <c r="AK173" s="26" t="s">
        <v>405</v>
      </c>
      <c r="AL173" s="26" t="s">
        <v>405</v>
      </c>
    </row>
    <row r="174">
      <c r="B174" s="382">
        <f>'WAP for Y-AXIS Walls'!$I$149*'WAP for Y-AXIS Walls'!$I$142*'WAP for Y-AXIS Walls'!$I$143</f>
        <v>575.5913236</v>
      </c>
      <c r="C174" s="383">
        <f t="shared" ref="C174:C175" si="99">T126*$G$208*1000</f>
        <v>1.640010705</v>
      </c>
      <c r="D174" s="328">
        <f t="shared" ref="D174:D175" si="100">C174+$G$149</f>
        <v>4.256352797</v>
      </c>
      <c r="E174" s="384">
        <f t="shared" ref="E174:E175" si="101">D174/G126/1000</f>
        <v>0.001467707861</v>
      </c>
      <c r="F174" s="385">
        <f t="shared" ref="F174:F175" si="102">R126*D174/1000*$F$172</f>
        <v>31.03768752</v>
      </c>
      <c r="G174" s="385">
        <f>IF('WAP for Y-AXIS Walls'!L111=0,0,F174/('WAP for Y-AXIS Walls'!L111*'WAP for Y-AXIS Walls'!$I$144))</f>
        <v>239.519134</v>
      </c>
      <c r="H174" s="324">
        <f t="shared" ref="H174:H175" si="103">G174/B174</f>
        <v>0.4161270752</v>
      </c>
      <c r="I174" s="386" t="str">
        <f t="shared" ref="I174:I175" si="104">if(H174&lt;=1,"OK","NG")</f>
        <v>OK</v>
      </c>
      <c r="J174" s="328">
        <f t="shared" ref="J174:J175" si="105">T126*$R$208*1000</f>
        <v>3.761029055</v>
      </c>
      <c r="K174" s="328">
        <f t="shared" ref="K174:K175" si="106">J174+$G$149</f>
        <v>6.377371147</v>
      </c>
      <c r="L174" s="384">
        <f t="shared" ref="L174:L175" si="107">K174/G126/1000</f>
        <v>0.002199093499</v>
      </c>
      <c r="M174" s="385">
        <f t="shared" ref="M174:M175" si="108">R126*K174/1000*$M$172</f>
        <v>46.50433418</v>
      </c>
      <c r="N174" s="385">
        <f>IF('WAP for Y-AXIS Walls'!L111=0,0,M174/('WAP for Y-AXIS Walls'!L111*'WAP for Y-AXIS Walls'!$I$144))</f>
        <v>358.8758938</v>
      </c>
      <c r="O174" s="324">
        <f t="shared" ref="O174:O175" si="109">N174/B174</f>
        <v>0.6234907982</v>
      </c>
      <c r="P174" s="387" t="str">
        <f t="shared" ref="P174:P175" si="110">if(O174&lt;=1,"OK","NG")</f>
        <v>OK</v>
      </c>
      <c r="Q174" s="388"/>
      <c r="R174" s="328"/>
      <c r="S174" s="142">
        <f t="shared" ref="S174:S175" si="111">R126/$R$176</f>
        <v>0.3640868835</v>
      </c>
      <c r="T174" s="385">
        <f t="shared" ref="T174:T175" si="112">$Q$176*$S174*$T$172*$R$206</f>
        <v>20.65140753</v>
      </c>
      <c r="U174" s="385">
        <f>IF('WAP for Y-AXIS Walls'!L111=0,0,T174/('WAP for Y-AXIS Walls'!L111*'WAP for Y-AXIS Walls'!$I$144))</f>
        <v>159.3677765</v>
      </c>
      <c r="V174" s="324">
        <f t="shared" ref="V174:V175" si="113">U174/B174</f>
        <v>0.2768766136</v>
      </c>
      <c r="W174" s="386" t="str">
        <f t="shared" ref="W174:W175" si="114">if(V174&lt;=1,"OK","NG")</f>
        <v>OK</v>
      </c>
      <c r="X174" s="387"/>
      <c r="Y174" s="333">
        <f>max(F174,M174)</f>
        <v>46.50433418</v>
      </c>
      <c r="Z174" s="334">
        <f>AC126</f>
        <v>7.267492733</v>
      </c>
      <c r="AA174" s="389" t="s">
        <v>448</v>
      </c>
      <c r="AB174" s="333">
        <f>12.5^2*pi()/4*2</f>
        <v>245.4369261</v>
      </c>
      <c r="AC174" s="26">
        <v>240.0</v>
      </c>
      <c r="AD174" s="374">
        <f>2.9-1.25</f>
        <v>1.65</v>
      </c>
      <c r="AE174" s="26">
        <v>420.0</v>
      </c>
      <c r="AF174" s="334">
        <f>0.8*0.5*AB174/1000/AD174*AE174*'WAP for Y-AXIS Walls'!D111</f>
        <v>32.48692403</v>
      </c>
      <c r="AG174" s="333">
        <f>'WAP for Y-AXIS Walls'!L111*'WAP for Y-AXIS Walls'!$I$63*'WAP for Y-AXIS Walls'!$I$58</f>
        <v>50.86751806</v>
      </c>
      <c r="AH174" s="333">
        <f>'WAP for Y-AXIS Walls'!$I$63*'WAP for Y-AXIS Walls'!$I$57*'WAP for Y-AXIS Walls'!$I$56</f>
        <v>596.5219172</v>
      </c>
      <c r="AI174" s="333">
        <f>'WAP for Y-AXIS Walls'!L111*AH174*'WAP for Y-AXIS Walls'!$I$58</f>
        <v>77.2992978</v>
      </c>
      <c r="AJ174" s="333">
        <f>AG174+AF174+Z174</f>
        <v>90.62193483</v>
      </c>
      <c r="AK174" s="390">
        <f>Y174/AI174</f>
        <v>0.6016139281</v>
      </c>
      <c r="AL174" s="390">
        <f>Y174/AJ174</f>
        <v>0.5131686305</v>
      </c>
      <c r="AM174" s="390">
        <f>AF174/AG174</f>
        <v>0.6386575416</v>
      </c>
      <c r="AN174" s="390">
        <f>Z174/AG174</f>
        <v>0.1428709913</v>
      </c>
    </row>
    <row r="175">
      <c r="B175" s="382">
        <f>'WAP for Y-AXIS Walls'!$I$149*'WAP for Y-AXIS Walls'!$I$142*'WAP for Y-AXIS Walls'!$I$143</f>
        <v>575.5913236</v>
      </c>
      <c r="C175" s="383">
        <f t="shared" si="99"/>
        <v>1.640010705</v>
      </c>
      <c r="D175" s="328">
        <f t="shared" si="100"/>
        <v>4.256352797</v>
      </c>
      <c r="E175" s="384">
        <f t="shared" si="101"/>
        <v>0.001467707861</v>
      </c>
      <c r="F175" s="385">
        <f t="shared" si="102"/>
        <v>54.21033686</v>
      </c>
      <c r="G175" s="385">
        <f>IF('WAP for Y-AXIS Walls'!L112=0,0,F175/('WAP for Y-AXIS Walls'!L112*'WAP for Y-AXIS Walls'!$I$144))</f>
        <v>339.9040442</v>
      </c>
      <c r="H175" s="324">
        <f t="shared" si="103"/>
        <v>0.5905301736</v>
      </c>
      <c r="I175" s="386" t="str">
        <f t="shared" si="104"/>
        <v>OK</v>
      </c>
      <c r="J175" s="328">
        <f t="shared" si="105"/>
        <v>3.761029055</v>
      </c>
      <c r="K175" s="328">
        <f t="shared" si="106"/>
        <v>6.377371147</v>
      </c>
      <c r="L175" s="384">
        <f t="shared" si="107"/>
        <v>0.002199093499</v>
      </c>
      <c r="M175" s="385">
        <f t="shared" si="108"/>
        <v>81.22433799</v>
      </c>
      <c r="N175" s="385">
        <f>IF('WAP for Y-AXIS Walls'!L112=0,0,M175/('WAP for Y-AXIS Walls'!L112*'WAP for Y-AXIS Walls'!$I$144))</f>
        <v>509.2844386</v>
      </c>
      <c r="O175" s="324">
        <f t="shared" si="109"/>
        <v>0.8848021463</v>
      </c>
      <c r="P175" s="387" t="str">
        <f t="shared" si="110"/>
        <v>OK</v>
      </c>
      <c r="Q175" s="388"/>
      <c r="R175" s="328"/>
      <c r="S175" s="142">
        <f t="shared" si="111"/>
        <v>0.6359131165</v>
      </c>
      <c r="T175" s="385">
        <f t="shared" si="112"/>
        <v>36.06968974</v>
      </c>
      <c r="U175" s="385">
        <f>IF('WAP for Y-AXIS Walls'!L112=0,0,T175/('WAP for Y-AXIS Walls'!L112*'WAP for Y-AXIS Walls'!$I$144))</f>
        <v>226.1604359</v>
      </c>
      <c r="V175" s="324">
        <f t="shared" si="113"/>
        <v>0.3929184243</v>
      </c>
      <c r="W175" s="386" t="str">
        <f t="shared" si="114"/>
        <v>OK</v>
      </c>
      <c r="X175" s="387"/>
    </row>
    <row r="176">
      <c r="B176" s="382"/>
      <c r="C176" s="383"/>
      <c r="D176" s="328"/>
      <c r="E176" s="384"/>
      <c r="F176" s="385"/>
      <c r="G176" s="385"/>
      <c r="H176" s="324"/>
      <c r="I176" s="145"/>
      <c r="J176" s="328"/>
      <c r="K176" s="328"/>
      <c r="L176" s="384"/>
      <c r="M176" s="385"/>
      <c r="N176" s="385"/>
      <c r="O176" s="324"/>
      <c r="P176" s="82"/>
      <c r="Q176" s="391">
        <f>'WAP for Y-AXIS Walls'!O113/'WAP for Y-AXIS Walls'!O124</f>
        <v>0.1301369863</v>
      </c>
      <c r="R176" s="385">
        <f>sum(R126:R127)</f>
        <v>20028.42068</v>
      </c>
      <c r="S176" s="143"/>
      <c r="T176" s="385"/>
      <c r="U176" s="385"/>
      <c r="V176" s="324"/>
      <c r="W176" s="145"/>
      <c r="X176" s="82"/>
    </row>
    <row r="177">
      <c r="B177" s="382">
        <f>'WAP for Y-AXIS Walls'!$I$149*'WAP for Y-AXIS Walls'!$I$142*'WAP for Y-AXIS Walls'!$I$143</f>
        <v>575.5913236</v>
      </c>
      <c r="C177" s="383">
        <f>T129*$G$208*1000</f>
        <v>1.05541096</v>
      </c>
      <c r="D177" s="328">
        <f>C177+$G$149</f>
        <v>3.671753051</v>
      </c>
      <c r="E177" s="384">
        <f>D177/G129/1000</f>
        <v>0.001266121742</v>
      </c>
      <c r="F177" s="385">
        <f>R129*D177/1000*$F$172</f>
        <v>72.76323354</v>
      </c>
      <c r="G177" s="385">
        <f>IF('WAP for Y-AXIS Walls'!L114=0,0,F177/('WAP for Y-AXIS Walls'!L114*'WAP for Y-AXIS Walls'!$I$144))</f>
        <v>384.195787</v>
      </c>
      <c r="H177" s="324">
        <f>G177/B177</f>
        <v>0.6674801569</v>
      </c>
      <c r="I177" s="386" t="str">
        <f>if(H177&lt;=1,"OK","NG")</f>
        <v>OK</v>
      </c>
      <c r="J177" s="328">
        <f>T129*$R$208*1000</f>
        <v>2.42036913</v>
      </c>
      <c r="K177" s="328">
        <f>J177+$G$149</f>
        <v>5.036711222</v>
      </c>
      <c r="L177" s="384">
        <f>K177/G129/1000</f>
        <v>0.001736796973</v>
      </c>
      <c r="M177" s="385">
        <f>R129*K177/1000*$M$172</f>
        <v>99.81264802</v>
      </c>
      <c r="N177" s="385">
        <f>IF('WAP for Y-AXIS Walls'!L114=0,0,M177/('WAP for Y-AXIS Walls'!L114*'WAP for Y-AXIS Walls'!$I$144))</f>
        <v>527.0188939</v>
      </c>
      <c r="O177" s="324">
        <f>N177/B177</f>
        <v>0.9156129918</v>
      </c>
      <c r="P177" s="387" t="str">
        <f>if(O177&lt;=1,"OK","NG")</f>
        <v>OK</v>
      </c>
      <c r="Q177" s="391"/>
      <c r="R177" s="385"/>
      <c r="S177" s="142">
        <f>R129/R178</f>
        <v>1</v>
      </c>
      <c r="T177" s="385">
        <f>$Q$178*$S177*$T$172*$R$206</f>
        <v>107.4715527</v>
      </c>
      <c r="U177" s="385">
        <f>IF('WAP for Y-AXIS Walls'!L114=0,0,T177/('WAP for Y-AXIS Walls'!L114*'WAP for Y-AXIS Walls'!$I$144))</f>
        <v>567.4585332</v>
      </c>
      <c r="V177" s="324">
        <f>U177/B177</f>
        <v>0.9858705473</v>
      </c>
      <c r="W177" s="386" t="str">
        <f>if(V177&lt;=1,"OK","NG")</f>
        <v>OK</v>
      </c>
      <c r="X177" s="387"/>
      <c r="Y177" s="333">
        <f>max(F177,M177)</f>
        <v>99.81264802</v>
      </c>
      <c r="Z177" s="334">
        <f>AC129</f>
        <v>13.76998623</v>
      </c>
      <c r="AA177" s="389" t="s">
        <v>448</v>
      </c>
      <c r="AB177" s="333">
        <f>12.5^2*pi()/4*2</f>
        <v>245.4369261</v>
      </c>
      <c r="AC177" s="26">
        <v>240.0</v>
      </c>
      <c r="AD177" s="374">
        <f>2.9-1.25</f>
        <v>1.65</v>
      </c>
      <c r="AE177" s="26">
        <v>420.0</v>
      </c>
      <c r="AF177" s="334">
        <f>0.8*0.5*AB177/1000/AD177*AE177*'WAP for Y-AXIS Walls'!D114</f>
        <v>47.48088897</v>
      </c>
      <c r="AG177" s="333">
        <f>'WAP for Y-AXIS Walls'!L114*'WAP for Y-AXIS Walls'!$I$63*'WAP for Y-AXIS Walls'!$I$58</f>
        <v>74.34483409</v>
      </c>
      <c r="AH177" s="333">
        <f>'WAP for Y-AXIS Walls'!$I$63*'WAP for Y-AXIS Walls'!$I$57*'WAP for Y-AXIS Walls'!$I$56</f>
        <v>596.5219172</v>
      </c>
      <c r="AI177" s="333">
        <f>'WAP for Y-AXIS Walls'!L114*AH177*'WAP for Y-AXIS Walls'!$I$58</f>
        <v>112.9758968</v>
      </c>
      <c r="AJ177" s="333">
        <f>AG177+AF177+Z177</f>
        <v>135.5957093</v>
      </c>
      <c r="AK177" s="390">
        <f>Y177/AI177</f>
        <v>0.8834862202</v>
      </c>
      <c r="AL177" s="390">
        <f>Y177/AJ177</f>
        <v>0.7361047672</v>
      </c>
      <c r="AM177" s="390">
        <f>AF177/AG177</f>
        <v>0.6386575416</v>
      </c>
      <c r="AN177" s="390">
        <f>Z177/AG177</f>
        <v>0.1852177949</v>
      </c>
    </row>
    <row r="178">
      <c r="B178" s="382"/>
      <c r="C178" s="383"/>
      <c r="D178" s="328"/>
      <c r="E178" s="384"/>
      <c r="F178" s="385"/>
      <c r="G178" s="385"/>
      <c r="H178" s="324"/>
      <c r="I178" s="145"/>
      <c r="J178" s="328"/>
      <c r="K178" s="328"/>
      <c r="L178" s="384"/>
      <c r="M178" s="385"/>
      <c r="N178" s="385"/>
      <c r="O178" s="324"/>
      <c r="P178" s="82"/>
      <c r="Q178" s="391">
        <f>'WAP for Y-AXIS Walls'!O115/'WAP for Y-AXIS Walls'!O124</f>
        <v>0.2465753425</v>
      </c>
      <c r="R178" s="385">
        <f>R129</f>
        <v>19817.02814</v>
      </c>
      <c r="S178" s="143"/>
      <c r="T178" s="385"/>
      <c r="U178" s="385"/>
      <c r="V178" s="324"/>
      <c r="W178" s="145"/>
      <c r="X178" s="82"/>
    </row>
    <row r="179">
      <c r="B179" s="382">
        <f>'WAP for Y-AXIS Walls'!$I$149*'WAP for Y-AXIS Walls'!$I$142*'WAP for Y-AXIS Walls'!$I$143</f>
        <v>575.5913236</v>
      </c>
      <c r="C179" s="383">
        <f>T131*$G$208*1000</f>
        <v>0.4708112141</v>
      </c>
      <c r="D179" s="328">
        <f>C179+$G$149</f>
        <v>3.087153306</v>
      </c>
      <c r="E179" s="384">
        <f>D179/G131/1000</f>
        <v>0.001064535623</v>
      </c>
      <c r="F179" s="385">
        <f>R131*D179/1000*$F$172</f>
        <v>61.17820393</v>
      </c>
      <c r="G179" s="385">
        <f>IF('WAP for Y-AXIS Walls'!L116=0,0,F179/('WAP for Y-AXIS Walls'!L116*'WAP for Y-AXIS Walls'!$I$144))</f>
        <v>323.0258891</v>
      </c>
      <c r="H179" s="324">
        <f>G179/B179</f>
        <v>0.5612070158</v>
      </c>
      <c r="I179" s="386" t="str">
        <f>if(H179&lt;=1,"OK","NG")</f>
        <v>OK</v>
      </c>
      <c r="J179" s="328">
        <f>T131*$R$208*1000</f>
        <v>1.079709205</v>
      </c>
      <c r="K179" s="328">
        <f>J179+$G$149</f>
        <v>3.696051297</v>
      </c>
      <c r="L179" s="384">
        <f>K179/G131/1000</f>
        <v>0.001274500447</v>
      </c>
      <c r="M179" s="385">
        <f>R131*K179/1000*$M$172</f>
        <v>73.24475256</v>
      </c>
      <c r="N179" s="385">
        <f>IF('WAP for Y-AXIS Walls'!L116=0,0,M179/('WAP for Y-AXIS Walls'!L116*'WAP for Y-AXIS Walls'!$I$144))</f>
        <v>386.7382465</v>
      </c>
      <c r="O179" s="324">
        <f>N179/B179</f>
        <v>0.6718972831</v>
      </c>
      <c r="P179" s="387" t="str">
        <f>if(O179&lt;=1,"OK","NG")</f>
        <v>OK</v>
      </c>
      <c r="Q179" s="391"/>
      <c r="R179" s="385"/>
      <c r="S179" s="142">
        <f>R131/R180</f>
        <v>1</v>
      </c>
      <c r="T179" s="385">
        <f>$Q$180*$S179*$T$172*$R$206</f>
        <v>107.4715527</v>
      </c>
      <c r="U179" s="385">
        <f>IF('WAP for Y-AXIS Walls'!L116=0,0,T179/('WAP for Y-AXIS Walls'!L116*'WAP for Y-AXIS Walls'!$I$144))</f>
        <v>567.4585332</v>
      </c>
      <c r="V179" s="324">
        <f>U179/B179</f>
        <v>0.9858705473</v>
      </c>
      <c r="W179" s="386" t="str">
        <f>if(V179&lt;=1,"OK","NG")</f>
        <v>OK</v>
      </c>
      <c r="X179" s="387"/>
      <c r="Y179" s="333">
        <f>max(F179,M179)</f>
        <v>73.24475256</v>
      </c>
      <c r="Z179" s="334">
        <f>AC131</f>
        <v>13.76998623</v>
      </c>
      <c r="AA179" s="389" t="s">
        <v>448</v>
      </c>
      <c r="AB179" s="333">
        <f>12.5^2*pi()/4*2</f>
        <v>245.4369261</v>
      </c>
      <c r="AC179" s="26">
        <v>240.0</v>
      </c>
      <c r="AD179" s="374">
        <f>2.9-1.25</f>
        <v>1.65</v>
      </c>
      <c r="AE179" s="26">
        <v>420.0</v>
      </c>
      <c r="AF179" s="334">
        <f>0.8*0.5*AB179/1000/AD179*AE179*'WAP for Y-AXIS Walls'!D116</f>
        <v>47.48088897</v>
      </c>
      <c r="AG179" s="333">
        <f>'WAP for Y-AXIS Walls'!L116*'WAP for Y-AXIS Walls'!$I$63*'WAP for Y-AXIS Walls'!$I$58</f>
        <v>74.34483409</v>
      </c>
      <c r="AH179" s="333">
        <f>'WAP for Y-AXIS Walls'!$I$63*'WAP for Y-AXIS Walls'!$I$57*'WAP for Y-AXIS Walls'!$I$56</f>
        <v>596.5219172</v>
      </c>
      <c r="AI179" s="333">
        <f>'WAP for Y-AXIS Walls'!L116*AH179*'WAP for Y-AXIS Walls'!$I$58</f>
        <v>112.9758968</v>
      </c>
      <c r="AJ179" s="333">
        <f>AG179+AF179+Z179</f>
        <v>135.5957093</v>
      </c>
      <c r="AK179" s="390">
        <f>Y179/AI179</f>
        <v>0.6483219399</v>
      </c>
      <c r="AL179" s="390">
        <f>Y179/AJ179</f>
        <v>0.5401701348</v>
      </c>
      <c r="AM179" s="390">
        <f>AF179/AG179</f>
        <v>0.6386575416</v>
      </c>
      <c r="AN179" s="390">
        <f>Z179/AG179</f>
        <v>0.1852177949</v>
      </c>
    </row>
    <row r="180">
      <c r="B180" s="382"/>
      <c r="C180" s="383"/>
      <c r="D180" s="328"/>
      <c r="E180" s="384"/>
      <c r="F180" s="385"/>
      <c r="G180" s="385"/>
      <c r="H180" s="324"/>
      <c r="I180" s="145"/>
      <c r="J180" s="328"/>
      <c r="K180" s="328"/>
      <c r="L180" s="384"/>
      <c r="M180" s="385"/>
      <c r="N180" s="385"/>
      <c r="O180" s="324"/>
      <c r="P180" s="82"/>
      <c r="Q180" s="391">
        <f>'WAP for Y-AXIS Walls'!O117/'WAP for Y-AXIS Walls'!O124</f>
        <v>0.2465753425</v>
      </c>
      <c r="R180" s="385">
        <f>R131</f>
        <v>19817.02814</v>
      </c>
      <c r="S180" s="143"/>
      <c r="T180" s="385"/>
      <c r="U180" s="385"/>
      <c r="V180" s="324"/>
      <c r="W180" s="145"/>
      <c r="X180" s="82"/>
    </row>
    <row r="181">
      <c r="B181" s="382">
        <f>'WAP for Y-AXIS Walls'!$I$149*'WAP for Y-AXIS Walls'!$I$142*'WAP for Y-AXIS Walls'!$I$143</f>
        <v>575.5913236</v>
      </c>
      <c r="C181" s="383">
        <f>T133*$G$208*1000</f>
        <v>-0.1137885316</v>
      </c>
      <c r="D181" s="328">
        <f>C181+$G$149</f>
        <v>2.50255356</v>
      </c>
      <c r="E181" s="384">
        <f>D181/G133/1000</f>
        <v>0.0008629495035</v>
      </c>
      <c r="F181" s="385">
        <f>R133*D181/1000*$F$172</f>
        <v>49.59317432</v>
      </c>
      <c r="G181" s="385">
        <f>IF('WAP for Y-AXIS Walls'!L118=0,0,F181/('WAP for Y-AXIS Walls'!L118*'WAP for Y-AXIS Walls'!$I$144))</f>
        <v>261.8559911</v>
      </c>
      <c r="H181" s="324">
        <f>G181/B181</f>
        <v>0.4549338748</v>
      </c>
      <c r="I181" s="386" t="str">
        <f>if(H181&lt;=1,"OK","NG")</f>
        <v>OK</v>
      </c>
      <c r="J181" s="328">
        <f>T133*$R$208*1000</f>
        <v>-0.2609507195</v>
      </c>
      <c r="K181" s="328">
        <f>J181+$G$149</f>
        <v>2.355391372</v>
      </c>
      <c r="L181" s="384">
        <f>K181/G133/1000</f>
        <v>0.0008122039214</v>
      </c>
      <c r="M181" s="385">
        <f>R133*K181/1000*$M$172</f>
        <v>46.6768571</v>
      </c>
      <c r="N181" s="385">
        <f>IF('WAP for Y-AXIS Walls'!L118=0,0,M181/('WAP for Y-AXIS Walls'!L118*'WAP for Y-AXIS Walls'!$I$144))</f>
        <v>246.4575992</v>
      </c>
      <c r="O181" s="324">
        <f>N181/B181</f>
        <v>0.4281815745</v>
      </c>
      <c r="P181" s="387" t="str">
        <f>if(O181&lt;=1,"OK","NG")</f>
        <v>OK</v>
      </c>
      <c r="Q181" s="391"/>
      <c r="R181" s="385"/>
      <c r="S181" s="142">
        <f>R133/R182</f>
        <v>1</v>
      </c>
      <c r="T181" s="385">
        <f>$Q$182*$S181*$T$172*$R$206</f>
        <v>107.4715527</v>
      </c>
      <c r="U181" s="385">
        <f>IF('WAP for Y-AXIS Walls'!L118=0,0,T181/('WAP for Y-AXIS Walls'!L118*'WAP for Y-AXIS Walls'!$I$144))</f>
        <v>567.4585332</v>
      </c>
      <c r="V181" s="324">
        <f>U181/B181</f>
        <v>0.9858705473</v>
      </c>
      <c r="W181" s="386" t="str">
        <f>if(V181&lt;=1,"OK","NG")</f>
        <v>OK</v>
      </c>
      <c r="X181" s="387"/>
      <c r="Y181" s="333">
        <f>max(F181,M181)</f>
        <v>49.59317432</v>
      </c>
      <c r="Z181" s="334">
        <f>AC133</f>
        <v>13.76998623</v>
      </c>
      <c r="AA181" s="389" t="s">
        <v>448</v>
      </c>
      <c r="AB181" s="333">
        <f>12.5^2*pi()/4*2</f>
        <v>245.4369261</v>
      </c>
      <c r="AC181" s="26">
        <v>240.0</v>
      </c>
      <c r="AD181" s="374">
        <f>2.9-1.25</f>
        <v>1.65</v>
      </c>
      <c r="AE181" s="26">
        <v>420.0</v>
      </c>
      <c r="AF181" s="334">
        <f>0.8*0.5*AB181/1000/AD181*AE181*'WAP for Y-AXIS Walls'!D118</f>
        <v>47.48088897</v>
      </c>
      <c r="AG181" s="333">
        <f>'WAP for Y-AXIS Walls'!L118*'WAP for Y-AXIS Walls'!$I$63*'WAP for Y-AXIS Walls'!$I$58</f>
        <v>74.34483409</v>
      </c>
      <c r="AH181" s="333">
        <f>'WAP for Y-AXIS Walls'!$I$63*'WAP for Y-AXIS Walls'!$I$57*'WAP for Y-AXIS Walls'!$I$56</f>
        <v>596.5219172</v>
      </c>
      <c r="AI181" s="333">
        <f>'WAP for Y-AXIS Walls'!L118*AH181*'WAP for Y-AXIS Walls'!$I$58</f>
        <v>112.9758968</v>
      </c>
      <c r="AJ181" s="333">
        <f>AG181+AF181+Z181</f>
        <v>135.5957093</v>
      </c>
      <c r="AK181" s="390">
        <f>Y181/AI181</f>
        <v>0.4389712827</v>
      </c>
      <c r="AL181" s="390">
        <f>Y181/AJ181</f>
        <v>0.365742947</v>
      </c>
      <c r="AM181" s="390">
        <f>AF181/AG181</f>
        <v>0.6386575416</v>
      </c>
      <c r="AN181" s="390">
        <f>Z181/AG181</f>
        <v>0.1852177949</v>
      </c>
    </row>
    <row r="182">
      <c r="B182" s="382"/>
      <c r="C182" s="383"/>
      <c r="D182" s="328"/>
      <c r="E182" s="384"/>
      <c r="F182" s="385"/>
      <c r="G182" s="385"/>
      <c r="H182" s="324"/>
      <c r="I182" s="145"/>
      <c r="J182" s="328"/>
      <c r="K182" s="328"/>
      <c r="L182" s="384"/>
      <c r="M182" s="385"/>
      <c r="N182" s="385"/>
      <c r="O182" s="324"/>
      <c r="P182" s="82"/>
      <c r="Q182" s="391">
        <f>'WAP for Y-AXIS Walls'!O119/'WAP for Y-AXIS Walls'!O124</f>
        <v>0.2465753425</v>
      </c>
      <c r="R182" s="385">
        <f>R133</f>
        <v>19817.02814</v>
      </c>
      <c r="S182" s="143"/>
      <c r="T182" s="385"/>
      <c r="U182" s="385"/>
      <c r="V182" s="324"/>
      <c r="W182" s="145"/>
      <c r="X182" s="82"/>
    </row>
    <row r="183">
      <c r="B183" s="382">
        <f>'WAP for Y-AXIS Walls'!$I$149*'WAP for Y-AXIS Walls'!$I$142*'WAP for Y-AXIS Walls'!$I$143</f>
        <v>575.5913236</v>
      </c>
      <c r="C183" s="383">
        <f t="shared" ref="C183:C184" si="115">T135*$G$208*1000</f>
        <v>-0.6983882773</v>
      </c>
      <c r="D183" s="328">
        <f t="shared" ref="D183:D184" si="116">C183+$G$149</f>
        <v>1.917953814</v>
      </c>
      <c r="E183" s="384">
        <f t="shared" ref="E183:E184" si="117">D183/G135/1000</f>
        <v>0.0006613633843</v>
      </c>
      <c r="F183" s="385">
        <f t="shared" ref="F183:F184" si="118">R135*D183/1000*$F$172</f>
        <v>167.0742166</v>
      </c>
      <c r="G183" s="385">
        <f>IF('WAP for Y-AXIS Walls'!L120=0,0,F183/('WAP for Y-AXIS Walls'!L120*'WAP for Y-AXIS Walls'!$I$144))</f>
        <v>453.0038759</v>
      </c>
      <c r="H183" s="324">
        <f t="shared" ref="H183:H184" si="119">G183/B183</f>
        <v>0.7870234614</v>
      </c>
      <c r="I183" s="386" t="str">
        <f t="shared" ref="I183:I184" si="120">if(H183&lt;=1,"OK","NG")</f>
        <v>OK</v>
      </c>
      <c r="J183" s="328">
        <f t="shared" ref="J183:J184" si="121">T135*$R$208*1000</f>
        <v>-1.601610644</v>
      </c>
      <c r="K183" s="328">
        <f t="shared" ref="K183:K184" si="122">J183+$G$149</f>
        <v>1.014731447</v>
      </c>
      <c r="L183" s="384">
        <f t="shared" ref="L183:L184" si="123">K183/G135/1000</f>
        <v>0.0003499073956</v>
      </c>
      <c r="M183" s="385">
        <f t="shared" ref="M183:M184" si="124">R135*K183/1000*$M$172</f>
        <v>88.39392288</v>
      </c>
      <c r="N183" s="385">
        <f>IF('WAP for Y-AXIS Walls'!L120=0,0,M183/('WAP for Y-AXIS Walls'!L120*'WAP for Y-AXIS Walls'!$I$144))</f>
        <v>239.6706715</v>
      </c>
      <c r="O183" s="324">
        <f t="shared" ref="O183:O184" si="125">N183/B183</f>
        <v>0.4163903479</v>
      </c>
      <c r="P183" s="387" t="str">
        <f t="shared" ref="P183:P184" si="126">if(O183&lt;=1,"OK","NG")</f>
        <v>OK</v>
      </c>
      <c r="Q183" s="391"/>
      <c r="R183" s="385"/>
      <c r="S183" s="142">
        <f t="shared" ref="S183:S184" si="127">R135/$R$185</f>
        <v>1</v>
      </c>
      <c r="T183" s="385">
        <f t="shared" ref="T183:T184" si="128">$Q$185*$S183*$T$172*$R$206</f>
        <v>56.72109727</v>
      </c>
      <c r="U183" s="385">
        <f>IF('WAP for Y-AXIS Walls'!L120=0,0,T183/('WAP for Y-AXIS Walls'!L120*'WAP for Y-AXIS Walls'!$I$144))</f>
        <v>153.7931911</v>
      </c>
      <c r="V183" s="324">
        <f t="shared" ref="V183:V184" si="129">U183/B183</f>
        <v>0.2671916423</v>
      </c>
      <c r="W183" s="386" t="str">
        <f t="shared" ref="W183:W184" si="130">if(V183&lt;=1,"OK","NG")</f>
        <v>OK</v>
      </c>
      <c r="X183" s="387"/>
      <c r="Y183" s="333">
        <f>max(F183,M183)</f>
        <v>167.0742166</v>
      </c>
      <c r="Z183" s="334">
        <f>AC135</f>
        <v>7.267492733</v>
      </c>
      <c r="AA183" s="389" t="s">
        <v>448</v>
      </c>
      <c r="AB183" s="333">
        <f>12.5^2*pi()/4*2</f>
        <v>245.4369261</v>
      </c>
      <c r="AC183" s="26">
        <v>240.0</v>
      </c>
      <c r="AD183" s="374">
        <f>2.9-1.25</f>
        <v>1.65</v>
      </c>
      <c r="AE183" s="26">
        <v>420.0</v>
      </c>
      <c r="AF183" s="334">
        <f>0.8*0.5*AB183/1000/AD183*AE183*'WAP for Y-AXIS Walls'!D120</f>
        <v>92.46278378</v>
      </c>
      <c r="AG183" s="333">
        <f>'WAP for Y-AXIS Walls'!L120*'WAP for Y-AXIS Walls'!$I$63*'WAP for Y-AXIS Walls'!$I$58</f>
        <v>144.7767822</v>
      </c>
      <c r="AH183" s="333">
        <f>'WAP for Y-AXIS Walls'!$I$63*'WAP for Y-AXIS Walls'!$I$57*'WAP for Y-AXIS Walls'!$I$56</f>
        <v>596.5219172</v>
      </c>
      <c r="AI183" s="333">
        <f>'WAP for Y-AXIS Walls'!L120*AH183*'WAP for Y-AXIS Walls'!$I$58</f>
        <v>220.0056937</v>
      </c>
      <c r="AJ183" s="333">
        <f>AG183+AF183+Z183</f>
        <v>244.5070587</v>
      </c>
      <c r="AK183" s="390">
        <f>Y183/AI183</f>
        <v>0.7594086031</v>
      </c>
      <c r="AL183" s="390">
        <f>Y183/AJ183</f>
        <v>0.683310402</v>
      </c>
      <c r="AM183" s="390">
        <f>AF183/AG183</f>
        <v>0.6386575416</v>
      </c>
      <c r="AN183" s="390">
        <f>Z183/AG183</f>
        <v>0.05019791587</v>
      </c>
    </row>
    <row r="184">
      <c r="B184" s="382">
        <f>'WAP for Y-AXIS Walls'!$I$149*'WAP for Y-AXIS Walls'!$I$142*'WAP for Y-AXIS Walls'!$I$143</f>
        <v>575.5913236</v>
      </c>
      <c r="C184" s="383">
        <f t="shared" si="115"/>
        <v>-0.6983882773</v>
      </c>
      <c r="D184" s="328">
        <f t="shared" si="116"/>
        <v>1.917953814</v>
      </c>
      <c r="E184" s="384">
        <f t="shared" si="117"/>
        <v>0.0006613633843</v>
      </c>
      <c r="F184" s="385">
        <f t="shared" si="118"/>
        <v>0</v>
      </c>
      <c r="G184" s="385">
        <f>IF('WAP for Y-AXIS Walls'!L121=0,0,F184/('WAP for Y-AXIS Walls'!L121*'WAP for Y-AXIS Walls'!$I$144))</f>
        <v>0</v>
      </c>
      <c r="H184" s="324">
        <f t="shared" si="119"/>
        <v>0</v>
      </c>
      <c r="I184" s="386" t="str">
        <f t="shared" si="120"/>
        <v>OK</v>
      </c>
      <c r="J184" s="328">
        <f t="shared" si="121"/>
        <v>-1.601610644</v>
      </c>
      <c r="K184" s="328">
        <f t="shared" si="122"/>
        <v>1.014731447</v>
      </c>
      <c r="L184" s="384">
        <f t="shared" si="123"/>
        <v>0.0003499073956</v>
      </c>
      <c r="M184" s="385">
        <f t="shared" si="124"/>
        <v>0</v>
      </c>
      <c r="N184" s="385">
        <f>IF('WAP for Y-AXIS Walls'!L121=0,0,M184/('WAP for Y-AXIS Walls'!L121*'WAP for Y-AXIS Walls'!$I$144))</f>
        <v>0</v>
      </c>
      <c r="O184" s="324">
        <f t="shared" si="125"/>
        <v>0</v>
      </c>
      <c r="P184" s="387" t="str">
        <f t="shared" si="126"/>
        <v>OK</v>
      </c>
      <c r="Q184" s="391"/>
      <c r="R184" s="385"/>
      <c r="S184" s="142">
        <f t="shared" si="127"/>
        <v>0</v>
      </c>
      <c r="T184" s="385">
        <f t="shared" si="128"/>
        <v>0</v>
      </c>
      <c r="U184" s="385">
        <f>IF('WAP for Y-AXIS Walls'!L121=0,0,T184/('WAP for Y-AXIS Walls'!L121*'WAP for Y-AXIS Walls'!$I$144))</f>
        <v>0</v>
      </c>
      <c r="V184" s="324">
        <f t="shared" si="129"/>
        <v>0</v>
      </c>
      <c r="W184" s="386" t="str">
        <f t="shared" si="130"/>
        <v>OK</v>
      </c>
      <c r="X184" s="387"/>
    </row>
    <row r="185">
      <c r="B185" s="392"/>
      <c r="C185" s="383"/>
      <c r="D185" s="328"/>
      <c r="E185" s="82"/>
      <c r="F185" s="393"/>
      <c r="G185" s="82"/>
      <c r="H185" s="82"/>
      <c r="I185" s="145"/>
      <c r="J185" s="328"/>
      <c r="K185" s="82"/>
      <c r="L185" s="82"/>
      <c r="M185" s="393"/>
      <c r="N185" s="82"/>
      <c r="O185" s="82"/>
      <c r="P185" s="82"/>
      <c r="Q185" s="391">
        <f>'WAP for Y-AXIS Walls'!O122/'WAP for Y-AXIS Walls'!O124</f>
        <v>0.1301369863</v>
      </c>
      <c r="R185" s="385">
        <f>sum(R135:R136)</f>
        <v>87110.65684</v>
      </c>
      <c r="S185" s="143"/>
      <c r="T185" s="393"/>
      <c r="U185" s="82"/>
      <c r="V185" s="82"/>
      <c r="W185" s="145"/>
      <c r="X185" s="82"/>
    </row>
    <row r="186">
      <c r="B186" s="392"/>
      <c r="C186" s="345"/>
      <c r="D186" s="127"/>
      <c r="E186" s="127"/>
      <c r="F186" s="394"/>
      <c r="G186" s="127"/>
      <c r="H186" s="127"/>
      <c r="I186" s="128"/>
      <c r="J186" s="347"/>
      <c r="K186" s="347"/>
      <c r="L186" s="127"/>
      <c r="M186" s="394"/>
      <c r="N186" s="347"/>
      <c r="O186" s="127"/>
      <c r="P186" s="127"/>
      <c r="Q186" s="395"/>
      <c r="R186" s="127"/>
      <c r="S186" s="170"/>
      <c r="T186" s="394"/>
      <c r="U186" s="127"/>
      <c r="V186" s="127"/>
      <c r="W186" s="128"/>
      <c r="X186" s="82"/>
    </row>
    <row r="187">
      <c r="B187" s="396"/>
      <c r="C187" s="397"/>
      <c r="D187" s="347">
        <f>(min(D174:D186)+max(D174:D186))/2</f>
        <v>3.087153306</v>
      </c>
      <c r="E187" s="315" t="s">
        <v>449</v>
      </c>
      <c r="F187" s="394">
        <f>sum(F174:F186)</f>
        <v>435.8568527</v>
      </c>
      <c r="G187" s="394">
        <f>F187/'WAP for Y-AXIS Walls'!L124/'WAP for Y-AXIS Walls'!I144</f>
        <v>355.4945734</v>
      </c>
      <c r="H187" s="347">
        <f>G187/G188</f>
        <v>0.9264244235</v>
      </c>
      <c r="I187" s="128" t="str">
        <f>if(H187&lt;=1,"OK","NG")</f>
        <v>OK</v>
      </c>
      <c r="J187" s="398"/>
      <c r="K187" s="347">
        <f>(min(K174:K186)+max(K174:K186))/2</f>
        <v>3.696051297</v>
      </c>
      <c r="L187" s="399" t="s">
        <v>449</v>
      </c>
      <c r="M187" s="394">
        <f>sum(M174:M186)</f>
        <v>435.8568527</v>
      </c>
      <c r="N187" s="394">
        <f>M187/'WAP for Y-AXIS Walls'!L124/'WAP for Y-AXIS Walls'!I144</f>
        <v>355.4945734</v>
      </c>
      <c r="O187" s="347">
        <f>N187/N188</f>
        <v>0.9264244235</v>
      </c>
      <c r="P187" s="127" t="str">
        <f>if(O187&lt;=1,"OK","NG")</f>
        <v>OK</v>
      </c>
      <c r="Q187" s="400">
        <f t="shared" ref="Q187:R187" si="131">sum(Q174:Q186)</f>
        <v>1</v>
      </c>
      <c r="R187" s="401">
        <f t="shared" si="131"/>
        <v>166590.1619</v>
      </c>
      <c r="S187" s="402"/>
      <c r="T187" s="394">
        <f>sum(T174:T186)</f>
        <v>435.8568527</v>
      </c>
      <c r="U187" s="394">
        <f>T187/'WAP for Y-AXIS Walls'!L124/'WAP for Y-AXIS Walls'!I144*'WAP for Y-AXIS Walls'!I150</f>
        <v>533.2418602</v>
      </c>
      <c r="V187" s="347">
        <f>U187/U188</f>
        <v>0.9264244235</v>
      </c>
      <c r="W187" s="128" t="str">
        <f t="shared" ref="W187:W190" si="132">if(V187&lt;=1,"OK","NG")</f>
        <v>OK</v>
      </c>
      <c r="X187" s="71"/>
    </row>
    <row r="188">
      <c r="B188" s="327"/>
      <c r="D188" s="447">
        <f>max(D174:D186)</f>
        <v>4.256352797</v>
      </c>
      <c r="E188" s="76" t="s">
        <v>450</v>
      </c>
      <c r="F188" s="393">
        <f>G206*F172</f>
        <v>435.8568527</v>
      </c>
      <c r="G188" s="393">
        <f>'WAP for Y-AXIS Walls'!I142*'WAP for Y-AXIS Walls'!I149/'WAP for Y-AXIS Walls'!I150*'WAP for Y-AXIS Walls'!I143</f>
        <v>383.7275491</v>
      </c>
      <c r="H188" s="408">
        <f>'WAP for Y-AXIS Walls'!I163</f>
        <v>0.9264244235</v>
      </c>
      <c r="I188" s="68"/>
      <c r="K188" s="447">
        <f>max(K174:K186)</f>
        <v>6.377371147</v>
      </c>
      <c r="L188" s="406" t="s">
        <v>450</v>
      </c>
      <c r="M188" s="393">
        <f>R206*M172</f>
        <v>435.8568527</v>
      </c>
      <c r="N188" s="393">
        <f>'WAP for Y-AXIS Walls'!I142*'WAP for Y-AXIS Walls'!I149/'WAP for Y-AXIS Walls'!I150*'WAP for Y-AXIS Walls'!I143</f>
        <v>383.7275491</v>
      </c>
      <c r="O188" s="408">
        <f>'WAP for Y-AXIS Walls'!I163</f>
        <v>0.9264244235</v>
      </c>
      <c r="P188" s="308" t="s">
        <v>451</v>
      </c>
      <c r="R188" s="387"/>
      <c r="S188" s="77" t="s">
        <v>452</v>
      </c>
      <c r="T188" s="393">
        <f>T187/'WAP for Y-AXIS Walls'!L124/'WAP for Y-AXIS Walls'!I144</f>
        <v>355.4945734</v>
      </c>
      <c r="U188" s="407">
        <f>'WAP for Y-AXIS Walls'!I142*'WAP for Y-AXIS Walls'!I149*'WAP for Y-AXIS Walls'!I143</f>
        <v>575.5913236</v>
      </c>
      <c r="V188" s="408">
        <f>T188/U188</f>
        <v>0.6176162823</v>
      </c>
      <c r="W188" s="407" t="str">
        <f t="shared" si="132"/>
        <v>OK</v>
      </c>
      <c r="Z188" s="30"/>
      <c r="AC188" s="409"/>
    </row>
    <row r="189">
      <c r="B189" s="68"/>
      <c r="D189" s="328">
        <f>D188/D187</f>
        <v>1.378730622</v>
      </c>
      <c r="E189" s="80" t="s">
        <v>453</v>
      </c>
      <c r="F189" s="68"/>
      <c r="G189" s="410"/>
      <c r="H189" s="328">
        <f>MAX(H174:H186)</f>
        <v>0.7870234614</v>
      </c>
      <c r="I189" s="68"/>
      <c r="K189" s="328">
        <f>K188/K187</f>
        <v>1.725455259</v>
      </c>
      <c r="L189" s="80" t="s">
        <v>453</v>
      </c>
      <c r="M189" s="68"/>
      <c r="N189" s="410"/>
      <c r="O189" s="328">
        <f>MAX(O174:O186)</f>
        <v>0.9156129918</v>
      </c>
      <c r="P189" s="68"/>
      <c r="R189" s="328"/>
      <c r="S189" s="68"/>
      <c r="T189" s="68"/>
      <c r="U189" s="68"/>
      <c r="V189" s="408">
        <f>'WAP for Y-AXIS Walls'!I163</f>
        <v>0.9264244235</v>
      </c>
      <c r="W189" s="407" t="str">
        <f t="shared" si="132"/>
        <v>OK</v>
      </c>
      <c r="Z189" s="29"/>
    </row>
    <row r="190">
      <c r="B190" s="82"/>
      <c r="D190" s="97">
        <f>min(max(1,(D188/1.2/D187)^2),3)</f>
        <v>1.320068144</v>
      </c>
      <c r="E190" s="71" t="s">
        <v>454</v>
      </c>
      <c r="F190" s="68"/>
      <c r="G190" s="68"/>
      <c r="H190" s="68"/>
      <c r="I190" s="68"/>
      <c r="K190" s="97">
        <f>min(max(1,(K188/1.2/K187)^2),3)</f>
        <v>2.067497118</v>
      </c>
      <c r="L190" s="71" t="s">
        <v>454</v>
      </c>
      <c r="M190" s="68"/>
      <c r="N190" s="114"/>
      <c r="O190" s="68"/>
      <c r="P190" s="68"/>
      <c r="R190" s="68"/>
      <c r="S190" s="68"/>
      <c r="T190" s="68"/>
      <c r="U190" s="68"/>
      <c r="V190" s="97">
        <f>max(V174:V186)</f>
        <v>0.9858705473</v>
      </c>
      <c r="W190" s="407" t="str">
        <f t="shared" si="132"/>
        <v>OK</v>
      </c>
      <c r="Z190" s="29"/>
    </row>
    <row r="191">
      <c r="B191" s="82"/>
      <c r="D191" s="82"/>
      <c r="E191" s="71" t="s">
        <v>455</v>
      </c>
      <c r="F191" s="68"/>
      <c r="G191" s="68"/>
      <c r="H191" s="68"/>
      <c r="I191" s="68"/>
      <c r="K191" s="328"/>
      <c r="L191" s="71" t="s">
        <v>455</v>
      </c>
      <c r="M191" s="68"/>
      <c r="N191" s="114"/>
      <c r="O191" s="68"/>
      <c r="P191" s="68"/>
      <c r="R191" s="68"/>
      <c r="S191" s="68"/>
      <c r="T191" s="68"/>
      <c r="U191" s="68"/>
      <c r="V191" s="68"/>
      <c r="W191" s="68"/>
      <c r="X191" s="68"/>
    </row>
    <row r="192">
      <c r="C192" s="82"/>
      <c r="D192" s="411" t="str">
        <f>if(D189&lt;1,"ERROR &lt;1",if(D189&lt;=1.2,"Pas d'irrégularité torsionnelle, Max/Avg&lt;1.2",if(D189&lt;=1.4,"Irrégularité torsionnelle 1a, Max/Moy=1.2-1.4","Irrégularité torsionnelle extrême 1b, Max/Moy&gt;1.4")))</f>
        <v>Irrégularité torsionnelle 1a, Max/Moy=1.2-1.4</v>
      </c>
      <c r="E192" s="406"/>
      <c r="F192" s="68"/>
      <c r="G192" s="68"/>
      <c r="H192" s="114" t="s">
        <v>456</v>
      </c>
      <c r="I192" s="68"/>
      <c r="J192" s="68"/>
      <c r="K192" s="68"/>
      <c r="L192" s="411" t="str">
        <f>if(K189&lt;1,"ERREUR &lt;1",if(K189&lt;=1.2,"Pas d'irrégularité torsionnelle, Max/Avg&lt;1.2",if(K189&lt;=1.4,"Irrégularité torsionnelle 1a, Max/Moy=1.2-1.4","Irrégularité torsionnelle extrême 1b, Max/Moy&gt;1.4")))</f>
        <v>Irrégularité torsionnelle extrême 1b, Max/Moy&gt;1.4</v>
      </c>
      <c r="M192" s="68"/>
      <c r="N192" s="68"/>
      <c r="O192" s="68"/>
      <c r="P192" s="114" t="s">
        <v>456</v>
      </c>
      <c r="Q192" s="410"/>
      <c r="R192" s="68"/>
      <c r="S192" s="68"/>
      <c r="T192" s="68"/>
      <c r="U192" s="68"/>
      <c r="V192" s="68"/>
      <c r="W192" s="68"/>
      <c r="X192" s="68"/>
      <c r="Y192" s="68"/>
    </row>
    <row r="193">
      <c r="C193" s="82"/>
      <c r="D193" s="68"/>
      <c r="E193" s="68"/>
      <c r="F193" s="414"/>
      <c r="G193" s="414"/>
      <c r="H193" s="406"/>
      <c r="I193" s="68"/>
      <c r="J193" s="68"/>
      <c r="K193" s="68"/>
      <c r="L193" s="68"/>
      <c r="M193" s="68"/>
      <c r="N193" s="68"/>
      <c r="O193" s="410"/>
      <c r="P193" s="415"/>
      <c r="Q193" s="68"/>
      <c r="R193" s="68"/>
      <c r="S193" s="410"/>
      <c r="T193" s="410"/>
      <c r="U193" s="410"/>
      <c r="V193" s="68"/>
      <c r="W193" s="68"/>
      <c r="X193" s="68"/>
      <c r="Y193" s="68"/>
    </row>
    <row r="194">
      <c r="F194" s="416" t="s">
        <v>457</v>
      </c>
      <c r="G194" s="417">
        <f>if(and('WAP for Y-AXIS Walls'!D98="Légère",'WAP for Y-AXIS Walls'!E96="Niveau supérieur"),0.05,0.05)</f>
        <v>0.05</v>
      </c>
      <c r="H194" s="71" t="s">
        <v>458</v>
      </c>
      <c r="I194" s="68"/>
      <c r="J194" s="68"/>
      <c r="L194" s="68"/>
      <c r="P194" s="68"/>
      <c r="Q194" s="416" t="s">
        <v>457</v>
      </c>
      <c r="R194" s="417">
        <f>if(and('WAP for Y-AXIS Walls'!D98="Légère",'WAP for Y-AXIS Walls'!E96="Niveau supérieur"),0.05,0.05)</f>
        <v>0.05</v>
      </c>
      <c r="S194" s="71" t="s">
        <v>458</v>
      </c>
      <c r="T194" s="68"/>
      <c r="U194" s="68"/>
      <c r="V194" s="68"/>
      <c r="W194" s="68"/>
      <c r="Y194" s="68"/>
    </row>
    <row r="195">
      <c r="F195" s="416" t="s">
        <v>460</v>
      </c>
      <c r="G195" s="75">
        <v>1.42</v>
      </c>
      <c r="H195" s="71" t="s">
        <v>461</v>
      </c>
      <c r="I195" s="68"/>
      <c r="J195" s="68"/>
      <c r="L195" s="68"/>
      <c r="P195" s="68"/>
      <c r="Q195" s="416" t="s">
        <v>460</v>
      </c>
      <c r="R195" s="75">
        <v>1.88</v>
      </c>
      <c r="S195" s="71" t="s">
        <v>461</v>
      </c>
      <c r="T195" s="68"/>
      <c r="U195" s="68"/>
      <c r="V195" s="68"/>
      <c r="W195" s="68"/>
      <c r="Y195" s="68"/>
    </row>
    <row r="196">
      <c r="F196" s="416" t="s">
        <v>457</v>
      </c>
      <c r="G196" s="418">
        <f>G194*G195</f>
        <v>0.071</v>
      </c>
      <c r="H196" s="80" t="s">
        <v>463</v>
      </c>
      <c r="I196" s="43"/>
      <c r="J196" s="68"/>
      <c r="L196" s="68"/>
      <c r="P196" s="68"/>
      <c r="Q196" s="416" t="s">
        <v>457</v>
      </c>
      <c r="R196" s="418">
        <f>R194*R195</f>
        <v>0.094</v>
      </c>
      <c r="S196" s="80" t="s">
        <v>463</v>
      </c>
      <c r="T196" s="43"/>
      <c r="U196" s="68"/>
      <c r="V196" s="68"/>
      <c r="W196" s="68"/>
      <c r="Y196" s="68"/>
    </row>
    <row r="197">
      <c r="F197" s="419" t="s">
        <v>465</v>
      </c>
      <c r="G197" s="82">
        <f>if('WAP for Y-AXIS Walls'!D98="Légère",lookup('WAP for Y-AXIS Walls'!D94,Reference!$B$37:$B$42,Reference!$K$37:$K$42),1)</f>
        <v>1</v>
      </c>
      <c r="H197" s="71" t="s">
        <v>466</v>
      </c>
      <c r="I197" s="68"/>
      <c r="J197" s="68"/>
      <c r="L197" s="68"/>
      <c r="P197" s="68"/>
      <c r="Q197" s="419" t="s">
        <v>465</v>
      </c>
      <c r="R197" s="82">
        <f>if('WAP for Y-AXIS Walls'!D98="Légère",lookup('WAP for Y-AXIS Walls'!D94,Reference!$B$37:$B$42,Reference!$K$37:$K$42),1)</f>
        <v>1</v>
      </c>
      <c r="S197" s="420" t="s">
        <v>466</v>
      </c>
      <c r="T197" s="68"/>
      <c r="U197" s="68"/>
      <c r="V197" s="68"/>
      <c r="W197" s="68"/>
      <c r="Y197" s="68"/>
    </row>
    <row r="198">
      <c r="E198" s="68"/>
      <c r="F198" s="68"/>
      <c r="G198" s="68"/>
      <c r="H198" s="68"/>
      <c r="I198" s="68"/>
      <c r="J198" s="68"/>
      <c r="K198" s="68"/>
      <c r="L198" s="68"/>
      <c r="Q198" s="68"/>
      <c r="R198" s="68"/>
      <c r="S198" s="68"/>
      <c r="T198" s="68"/>
      <c r="U198" s="68"/>
      <c r="V198" s="68"/>
      <c r="W198" s="68"/>
      <c r="X198" s="68"/>
      <c r="Y198" s="68"/>
    </row>
    <row r="199">
      <c r="E199" s="421" t="s">
        <v>467</v>
      </c>
      <c r="F199" s="364"/>
      <c r="G199" s="364"/>
      <c r="H199" s="364"/>
      <c r="I199" s="68"/>
      <c r="J199" s="68"/>
      <c r="N199" s="68"/>
      <c r="O199" s="421" t="s">
        <v>468</v>
      </c>
      <c r="P199" s="422"/>
      <c r="Q199" s="422"/>
      <c r="R199" s="364"/>
      <c r="S199" s="48"/>
      <c r="T199" s="82"/>
      <c r="U199" s="68"/>
      <c r="V199" s="68"/>
      <c r="W199" s="68"/>
      <c r="X199" s="68"/>
      <c r="Y199" s="68"/>
    </row>
    <row r="200">
      <c r="E200" s="68"/>
      <c r="F200" s="48"/>
      <c r="G200" s="48"/>
      <c r="H200" s="82"/>
      <c r="I200" s="68"/>
      <c r="J200" s="68"/>
      <c r="K200" s="68"/>
      <c r="L200" s="68"/>
      <c r="Q200" s="68"/>
      <c r="R200" s="68"/>
      <c r="S200" s="68"/>
      <c r="T200" s="68"/>
      <c r="U200" s="48"/>
      <c r="V200" s="68"/>
      <c r="W200" s="68"/>
      <c r="X200" s="68"/>
      <c r="Y200" s="68"/>
    </row>
    <row r="201">
      <c r="F201" s="423" t="s">
        <v>469</v>
      </c>
      <c r="G201" s="384">
        <f>G196</f>
        <v>0.071</v>
      </c>
      <c r="H201" s="80" t="s">
        <v>512</v>
      </c>
      <c r="I201" s="68"/>
      <c r="J201" s="68"/>
      <c r="K201" s="68"/>
      <c r="L201" s="68"/>
      <c r="Q201" s="423" t="s">
        <v>471</v>
      </c>
      <c r="R201" s="384">
        <f>R196</f>
        <v>0.094</v>
      </c>
      <c r="S201" s="80" t="s">
        <v>512</v>
      </c>
      <c r="T201" s="68"/>
      <c r="U201" s="68"/>
      <c r="V201" s="68"/>
      <c r="W201" s="68"/>
      <c r="X201" s="68"/>
      <c r="Y201" s="68"/>
    </row>
    <row r="202">
      <c r="F202" s="416" t="s">
        <v>472</v>
      </c>
      <c r="G202" s="387">
        <f>G201*$D$8</f>
        <v>1.0366</v>
      </c>
      <c r="H202" s="43" t="s">
        <v>84</v>
      </c>
      <c r="I202" s="71" t="s">
        <v>473</v>
      </c>
      <c r="J202" s="68"/>
      <c r="K202" s="68"/>
      <c r="Q202" s="416" t="s">
        <v>472</v>
      </c>
      <c r="R202" s="387">
        <f>-R201*$D$8</f>
        <v>-1.3724</v>
      </c>
      <c r="S202" s="43" t="s">
        <v>84</v>
      </c>
      <c r="T202" s="68"/>
      <c r="U202" s="68"/>
      <c r="V202" s="68"/>
      <c r="W202" s="68"/>
      <c r="X202" s="68"/>
      <c r="Y202" s="68"/>
    </row>
    <row r="203">
      <c r="F203" s="419" t="s">
        <v>475</v>
      </c>
      <c r="G203" s="97">
        <f>G150+G202</f>
        <v>8.2366</v>
      </c>
      <c r="H203" s="71" t="s">
        <v>476</v>
      </c>
      <c r="I203" s="68"/>
      <c r="J203" s="71"/>
      <c r="K203" s="68"/>
      <c r="Q203" s="419" t="s">
        <v>475</v>
      </c>
      <c r="R203" s="97">
        <f>G150+R202</f>
        <v>5.8276</v>
      </c>
      <c r="S203" s="71" t="s">
        <v>477</v>
      </c>
      <c r="T203" s="68"/>
      <c r="U203" s="68"/>
      <c r="V203" s="68"/>
      <c r="W203" s="68"/>
      <c r="X203" s="68"/>
      <c r="Y203" s="68"/>
    </row>
    <row r="204">
      <c r="F204" s="419" t="s">
        <v>478</v>
      </c>
      <c r="G204" s="135">
        <f>G203-G148</f>
        <v>-1.862683455</v>
      </c>
      <c r="H204" s="80" t="s">
        <v>513</v>
      </c>
      <c r="I204" s="71"/>
      <c r="J204" s="68"/>
      <c r="K204" s="68"/>
      <c r="O204" s="448"/>
      <c r="P204" s="448"/>
      <c r="Q204" s="419" t="s">
        <v>478</v>
      </c>
      <c r="R204" s="135">
        <f>R203-G148</f>
        <v>-4.271683455</v>
      </c>
      <c r="S204" s="80" t="s">
        <v>513</v>
      </c>
      <c r="T204" s="68"/>
      <c r="U204" s="68"/>
      <c r="V204" s="68"/>
      <c r="W204" s="68"/>
      <c r="X204" s="68"/>
      <c r="Y204" s="68"/>
    </row>
    <row r="205">
      <c r="F205" s="416" t="s">
        <v>479</v>
      </c>
      <c r="G205" s="429">
        <f>G204/D115</f>
        <v>-0.1275810586</v>
      </c>
      <c r="H205" s="71" t="s">
        <v>514</v>
      </c>
      <c r="I205" s="71"/>
      <c r="J205" s="68"/>
      <c r="K205" s="68"/>
      <c r="Q205" s="428"/>
      <c r="R205" s="429">
        <f>R204/D115</f>
        <v>-0.2925810586</v>
      </c>
      <c r="S205" s="71" t="s">
        <v>514</v>
      </c>
      <c r="T205" s="68"/>
      <c r="U205" s="68"/>
      <c r="V205" s="68"/>
      <c r="W205" s="68"/>
      <c r="X205" s="68"/>
      <c r="Y205" s="68"/>
    </row>
    <row r="206">
      <c r="C206" s="31"/>
      <c r="F206" s="419" t="s">
        <v>480</v>
      </c>
      <c r="G206" s="385">
        <f>'WAP for Y-AXIS Walls'!I154</f>
        <v>435.8568527</v>
      </c>
      <c r="H206" s="71" t="s">
        <v>199</v>
      </c>
      <c r="I206" s="26"/>
      <c r="L206" s="68"/>
      <c r="M206" s="68"/>
      <c r="Q206" s="419" t="s">
        <v>480</v>
      </c>
      <c r="R206" s="385">
        <f>'WAP for Y-AXIS Walls'!I154</f>
        <v>435.8568527</v>
      </c>
      <c r="S206" s="71" t="s">
        <v>199</v>
      </c>
      <c r="T206" s="71"/>
      <c r="U206" s="68"/>
      <c r="V206" s="68"/>
      <c r="W206" s="68"/>
      <c r="X206" s="68"/>
      <c r="Y206" s="68"/>
    </row>
    <row r="207">
      <c r="C207" s="31"/>
      <c r="F207" s="419" t="s">
        <v>481</v>
      </c>
      <c r="G207" s="385">
        <f>G197*G206*G204</f>
        <v>-811.8633485</v>
      </c>
      <c r="H207" s="71" t="s">
        <v>482</v>
      </c>
      <c r="I207" s="26" t="s">
        <v>483</v>
      </c>
      <c r="L207" s="374" t="str">
        <f>if(H207&lt;0,"Dans le sens inverse des aiguilles d'une montre","dans le sens des aiguilles d'une montre")</f>
        <v>dans le sens des aiguilles d'une montre</v>
      </c>
      <c r="M207" s="68"/>
      <c r="Q207" s="419" t="s">
        <v>481</v>
      </c>
      <c r="R207" s="385">
        <f>R197*R206*R204</f>
        <v>-1861.842507</v>
      </c>
      <c r="S207" s="427" t="s">
        <v>482</v>
      </c>
      <c r="T207" s="374" t="str">
        <f>if(R207&lt;0,"Dans le sens inverse des aiguilles d'une montre","Dans le sens des aiguilles d'une montre")</f>
        <v>Dans le sens inverse des aiguilles d'une montre</v>
      </c>
      <c r="U207" s="68"/>
      <c r="V207" s="68"/>
      <c r="W207" s="68"/>
      <c r="X207" s="68"/>
      <c r="Y207" s="68"/>
    </row>
    <row r="208">
      <c r="F208" s="423" t="s">
        <v>484</v>
      </c>
      <c r="G208" s="432">
        <f>G207/U141</f>
        <v>-0.0001623888182</v>
      </c>
      <c r="H208" s="71" t="s">
        <v>485</v>
      </c>
      <c r="I208" s="26" t="s">
        <v>515</v>
      </c>
      <c r="K208" s="71"/>
      <c r="L208" s="71" t="s">
        <v>487</v>
      </c>
      <c r="M208" s="68"/>
      <c r="Q208" s="423" t="s">
        <v>484</v>
      </c>
      <c r="R208" s="432">
        <f>R207/U141</f>
        <v>-0.0003724055347</v>
      </c>
      <c r="S208" s="80" t="s">
        <v>485</v>
      </c>
      <c r="T208" s="71"/>
      <c r="U208" s="68"/>
      <c r="V208" s="68"/>
      <c r="W208" s="68"/>
      <c r="X208" s="68"/>
      <c r="Y208" s="68"/>
    </row>
    <row r="209">
      <c r="E209" s="68"/>
      <c r="F209" s="433"/>
      <c r="G209" s="433">
        <f>G208/2*pi()*360</f>
        <v>-0.09182871331</v>
      </c>
      <c r="H209" s="71" t="s">
        <v>488</v>
      </c>
      <c r="I209" s="114" t="s">
        <v>516</v>
      </c>
      <c r="K209" s="114"/>
      <c r="L209" s="68"/>
      <c r="M209" s="68"/>
      <c r="Q209" s="68"/>
      <c r="R209" s="433">
        <f>R208/2*pi()*360</f>
        <v>-0.2105903686</v>
      </c>
      <c r="S209" s="71" t="s">
        <v>488</v>
      </c>
      <c r="T209" s="71"/>
      <c r="U209" s="68"/>
      <c r="V209" s="68"/>
      <c r="W209" s="68"/>
      <c r="X209" s="68"/>
      <c r="Y209" s="68"/>
    </row>
    <row r="210">
      <c r="C210" s="68"/>
      <c r="D210" s="68"/>
      <c r="E210" s="68"/>
      <c r="F210" s="68"/>
      <c r="G210" s="68"/>
      <c r="H210" s="68"/>
      <c r="K210" s="114"/>
      <c r="L210" s="68"/>
      <c r="M210" s="68"/>
      <c r="N210" s="68"/>
      <c r="O210" s="68"/>
      <c r="P210" s="68"/>
      <c r="Q210" s="68"/>
      <c r="R210" s="68"/>
      <c r="S210" s="68"/>
      <c r="T210" s="68"/>
      <c r="U210" s="68"/>
      <c r="V210" s="68"/>
      <c r="W210" s="68"/>
      <c r="X210" s="68"/>
      <c r="Y210" s="68"/>
    </row>
    <row r="211">
      <c r="C211" s="68"/>
      <c r="D211" s="68"/>
      <c r="E211" s="68"/>
      <c r="F211" s="68"/>
      <c r="G211" s="68"/>
      <c r="H211" s="68"/>
      <c r="I211" s="68"/>
      <c r="J211" s="68"/>
      <c r="K211" s="68"/>
      <c r="L211" s="68"/>
      <c r="M211" s="68"/>
      <c r="N211" s="68"/>
      <c r="O211" s="68"/>
      <c r="P211" s="68"/>
      <c r="Q211" s="68"/>
      <c r="R211" s="68"/>
      <c r="S211" s="68"/>
      <c r="T211" s="68"/>
      <c r="U211" s="68"/>
      <c r="V211" s="68"/>
      <c r="W211" s="68"/>
      <c r="X211" s="68"/>
      <c r="Y211" s="68"/>
    </row>
    <row r="215">
      <c r="A215" s="47"/>
      <c r="B215" s="224"/>
      <c r="C215" s="246"/>
      <c r="D215" s="224"/>
      <c r="E215" s="224"/>
      <c r="F215" s="224"/>
      <c r="G215" s="224"/>
      <c r="H215" s="224"/>
      <c r="I215" s="224"/>
      <c r="J215" s="224"/>
      <c r="K215" s="224"/>
      <c r="L215" s="224"/>
      <c r="M215" s="224"/>
      <c r="N215" s="224"/>
      <c r="O215" s="288"/>
      <c r="P215" s="224"/>
      <c r="Q215" s="224"/>
      <c r="R215" s="47"/>
    </row>
    <row r="216">
      <c r="A216" s="47"/>
      <c r="B216" s="49" t="s">
        <v>75</v>
      </c>
      <c r="C216" s="50"/>
      <c r="D216" s="51"/>
      <c r="E216" s="51"/>
      <c r="F216" s="51"/>
      <c r="G216" s="51"/>
      <c r="H216" s="51"/>
      <c r="I216" s="51"/>
      <c r="J216" s="51"/>
      <c r="K216" s="51"/>
      <c r="L216" s="51"/>
      <c r="M216" s="51"/>
      <c r="N216" s="52" t="s">
        <v>76</v>
      </c>
      <c r="O216" s="52"/>
      <c r="P216" s="51"/>
      <c r="Q216" s="51"/>
      <c r="R216" s="51"/>
      <c r="S216" s="68"/>
      <c r="T216" s="68"/>
      <c r="U216" s="68"/>
      <c r="V216" s="68"/>
      <c r="W216" s="68"/>
      <c r="X216" s="68"/>
    </row>
    <row r="217">
      <c r="A217" s="47"/>
      <c r="B217" s="49" t="s">
        <v>77</v>
      </c>
      <c r="C217" s="55" t="s">
        <v>78</v>
      </c>
      <c r="D217" s="56"/>
      <c r="E217" s="51"/>
      <c r="F217" s="51"/>
      <c r="G217" s="51"/>
      <c r="H217" s="51"/>
      <c r="I217" s="51"/>
      <c r="J217" s="51"/>
      <c r="K217" s="51"/>
      <c r="L217" s="51"/>
      <c r="M217" s="51"/>
      <c r="N217" s="57" t="s">
        <v>79</v>
      </c>
      <c r="O217" s="57"/>
      <c r="P217" s="51"/>
      <c r="Q217" s="51"/>
      <c r="R217" s="51"/>
      <c r="S217" s="68"/>
      <c r="T217" s="68"/>
      <c r="U217" s="68"/>
      <c r="V217" s="68"/>
      <c r="W217" s="68"/>
      <c r="X217" s="68"/>
    </row>
    <row r="218">
      <c r="A218" s="47"/>
      <c r="B218" s="51"/>
      <c r="C218" s="52"/>
      <c r="D218" s="56"/>
      <c r="E218" s="51"/>
      <c r="F218" s="51"/>
      <c r="G218" s="51"/>
      <c r="H218" s="51"/>
      <c r="I218" s="51"/>
      <c r="J218" s="51"/>
      <c r="K218" s="51"/>
      <c r="L218" s="51"/>
      <c r="M218" s="51"/>
      <c r="N218" s="57" t="s">
        <v>80</v>
      </c>
      <c r="O218" s="57"/>
      <c r="P218" s="51"/>
      <c r="Q218" s="51"/>
      <c r="R218" s="51"/>
      <c r="S218" s="68"/>
      <c r="T218" s="68"/>
      <c r="U218" s="68"/>
      <c r="V218" s="68"/>
      <c r="W218" s="68"/>
      <c r="X218" s="68"/>
    </row>
    <row r="219">
      <c r="A219" s="33"/>
      <c r="B219" s="43"/>
      <c r="C219" s="45"/>
      <c r="D219" s="43"/>
      <c r="E219" s="43"/>
      <c r="F219" s="43"/>
      <c r="G219" s="43"/>
      <c r="H219" s="43"/>
      <c r="I219" s="43"/>
      <c r="J219" s="43"/>
      <c r="K219" s="43"/>
      <c r="L219" s="43"/>
      <c r="M219" s="43"/>
      <c r="N219" s="43"/>
      <c r="O219" s="43"/>
      <c r="P219" s="43"/>
      <c r="Q219" s="43"/>
      <c r="R219" s="43"/>
      <c r="S219" s="68"/>
      <c r="T219" s="68"/>
      <c r="U219" s="68"/>
      <c r="V219" s="68"/>
      <c r="W219" s="68"/>
      <c r="X219" s="68"/>
    </row>
    <row r="220">
      <c r="A220" s="33"/>
      <c r="B220" s="43"/>
      <c r="C220" s="45"/>
      <c r="D220" s="43"/>
      <c r="E220" s="43"/>
      <c r="F220" s="43"/>
      <c r="G220" s="43"/>
      <c r="H220" s="43"/>
      <c r="I220" s="434"/>
      <c r="J220" s="253"/>
      <c r="K220" s="43"/>
      <c r="L220" s="98" t="s">
        <v>234</v>
      </c>
      <c r="M220" s="43"/>
      <c r="N220" s="43"/>
      <c r="O220" s="43"/>
      <c r="P220" s="43"/>
      <c r="Q220" s="43"/>
      <c r="R220" s="43"/>
      <c r="S220" s="68"/>
      <c r="T220" s="68"/>
      <c r="U220" s="68"/>
      <c r="V220" s="68"/>
      <c r="W220" s="68"/>
      <c r="X220" s="68"/>
    </row>
    <row r="221">
      <c r="A221" s="33"/>
      <c r="B221" s="43"/>
      <c r="C221" s="45"/>
      <c r="D221" s="43"/>
      <c r="E221" s="43"/>
      <c r="F221" s="43"/>
      <c r="G221" s="43"/>
      <c r="H221" s="43"/>
      <c r="I221" s="43"/>
      <c r="J221" s="43"/>
      <c r="K221" s="43"/>
      <c r="L221" s="43"/>
      <c r="M221" s="43"/>
      <c r="N221" s="43"/>
      <c r="O221" s="43"/>
      <c r="P221" s="43"/>
      <c r="Q221" s="43"/>
      <c r="R221" s="43"/>
      <c r="S221" s="68"/>
      <c r="T221" s="68"/>
      <c r="U221" s="68"/>
      <c r="V221" s="68"/>
      <c r="W221" s="68"/>
      <c r="X221" s="68"/>
    </row>
    <row r="222">
      <c r="B222" s="68"/>
      <c r="C222" s="68"/>
      <c r="D222" s="68"/>
      <c r="E222" s="68"/>
      <c r="F222" s="68"/>
      <c r="G222" s="68"/>
      <c r="H222" s="68"/>
      <c r="I222" s="68"/>
      <c r="J222" s="68"/>
      <c r="K222" s="289"/>
      <c r="L222" s="184"/>
      <c r="M222" s="290"/>
      <c r="N222" s="184"/>
      <c r="O222" s="291"/>
      <c r="P222" s="291"/>
      <c r="Q222" s="291"/>
      <c r="R222" s="291"/>
      <c r="S222" s="68"/>
      <c r="T222" s="68"/>
      <c r="U222" s="68"/>
      <c r="V222" s="68"/>
      <c r="W222" s="68"/>
      <c r="X222" s="68"/>
    </row>
    <row r="223">
      <c r="A223" s="67"/>
      <c r="B223" s="43"/>
      <c r="C223" s="70" t="s">
        <v>86</v>
      </c>
      <c r="D223" s="276">
        <f>'WAP for Y-AXIS Walls'!P7</f>
        <v>54.02</v>
      </c>
      <c r="E223" s="71"/>
      <c r="F223" s="71" t="s">
        <v>87</v>
      </c>
      <c r="G223" s="71" t="s">
        <v>258</v>
      </c>
      <c r="H223" s="68"/>
      <c r="I223" s="68"/>
      <c r="J223" s="68"/>
      <c r="K223" s="291"/>
      <c r="L223" s="293"/>
      <c r="M223" s="435"/>
      <c r="N223" s="293"/>
      <c r="O223" s="291"/>
      <c r="P223" s="291"/>
      <c r="Q223" s="291"/>
      <c r="R223" s="291"/>
      <c r="S223" s="68"/>
      <c r="T223" s="68"/>
      <c r="U223" s="68"/>
      <c r="V223" s="68"/>
      <c r="W223" s="68"/>
      <c r="X223" s="68"/>
    </row>
    <row r="224">
      <c r="A224" s="189"/>
      <c r="B224" s="43"/>
      <c r="C224" s="77" t="s">
        <v>259</v>
      </c>
      <c r="D224" s="276">
        <f>'WAP for Y-AXIS Walls'!P8</f>
        <v>14.6</v>
      </c>
      <c r="E224" s="71"/>
      <c r="F224" s="71" t="s">
        <v>84</v>
      </c>
      <c r="G224" s="71" t="s">
        <v>260</v>
      </c>
      <c r="H224" s="68"/>
      <c r="I224" s="68"/>
      <c r="J224" s="68"/>
      <c r="K224" s="294"/>
      <c r="L224" s="292"/>
      <c r="M224" s="436"/>
      <c r="N224" s="293"/>
      <c r="O224" s="291"/>
      <c r="P224" s="291"/>
      <c r="Q224" s="291"/>
      <c r="R224" s="291"/>
      <c r="S224" s="68"/>
      <c r="T224" s="68"/>
      <c r="U224" s="68"/>
      <c r="V224" s="68"/>
      <c r="W224" s="68"/>
      <c r="X224" s="68"/>
    </row>
    <row r="225">
      <c r="A225" s="189"/>
      <c r="B225" s="43"/>
      <c r="C225" s="77" t="s">
        <v>261</v>
      </c>
      <c r="D225" s="276">
        <f>'WAP for Y-AXIS Walls'!P9</f>
        <v>3.7</v>
      </c>
      <c r="E225" s="71"/>
      <c r="F225" s="71" t="s">
        <v>87</v>
      </c>
      <c r="G225" s="71" t="s">
        <v>262</v>
      </c>
      <c r="H225" s="68"/>
      <c r="I225" s="68"/>
      <c r="J225" s="68"/>
      <c r="K225" s="294"/>
      <c r="L225" s="292"/>
      <c r="M225" s="436"/>
      <c r="N225" s="293"/>
      <c r="O225" s="291"/>
      <c r="P225" s="291"/>
      <c r="Q225" s="291"/>
      <c r="R225" s="291"/>
      <c r="S225" s="68"/>
      <c r="T225" s="68"/>
      <c r="U225" s="68"/>
      <c r="V225" s="68"/>
      <c r="W225" s="68"/>
      <c r="X225" s="68"/>
    </row>
    <row r="226">
      <c r="B226" s="68"/>
      <c r="C226" s="68"/>
      <c r="D226" s="68"/>
      <c r="E226" s="68"/>
      <c r="F226" s="68"/>
      <c r="G226" s="68"/>
      <c r="H226" s="68"/>
      <c r="I226" s="68"/>
      <c r="J226" s="68"/>
      <c r="K226" s="184"/>
      <c r="L226" s="187"/>
      <c r="M226" s="295"/>
      <c r="N226" s="185"/>
      <c r="O226" s="291"/>
      <c r="P226" s="291"/>
      <c r="Q226" s="291"/>
      <c r="R226" s="291"/>
      <c r="S226" s="68"/>
      <c r="T226" s="68"/>
      <c r="U226" s="68"/>
      <c r="V226" s="68"/>
      <c r="W226" s="68"/>
      <c r="X226" s="68"/>
    </row>
    <row r="227">
      <c r="B227" s="68"/>
      <c r="C227" s="68"/>
      <c r="D227" s="68"/>
      <c r="E227" s="68"/>
      <c r="F227" s="68"/>
      <c r="G227" s="68"/>
      <c r="H227" s="68"/>
      <c r="I227" s="68"/>
      <c r="J227" s="68"/>
      <c r="K227" s="291"/>
      <c r="L227" s="187"/>
      <c r="M227" s="153"/>
      <c r="N227" s="185"/>
      <c r="O227" s="291"/>
      <c r="P227" s="291"/>
      <c r="Q227" s="291"/>
      <c r="R227" s="291"/>
      <c r="S227" s="68"/>
      <c r="T227" s="68"/>
      <c r="U227" s="68"/>
      <c r="V227" s="68"/>
      <c r="W227" s="68"/>
      <c r="X227" s="68"/>
    </row>
    <row r="228">
      <c r="B228" s="68"/>
      <c r="C228" s="68"/>
      <c r="D228" s="68"/>
      <c r="E228" s="68"/>
      <c r="F228" s="68"/>
      <c r="G228" s="68"/>
      <c r="H228" s="68"/>
      <c r="I228" s="68"/>
      <c r="J228" s="68"/>
      <c r="K228" s="291"/>
      <c r="L228" s="297"/>
      <c r="M228" s="298"/>
      <c r="N228" s="293"/>
      <c r="O228" s="293"/>
      <c r="P228" s="291"/>
      <c r="Q228" s="291"/>
      <c r="R228" s="291"/>
      <c r="S228" s="68"/>
      <c r="T228" s="68"/>
      <c r="U228" s="68"/>
      <c r="V228" s="68"/>
      <c r="W228" s="68"/>
      <c r="X228" s="68"/>
      <c r="Z228" s="68"/>
      <c r="AB228" s="90" t="s">
        <v>263</v>
      </c>
      <c r="AC228" s="26">
        <v>0.5</v>
      </c>
    </row>
    <row r="229">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Z229" s="68"/>
      <c r="AB229" s="90" t="s">
        <v>517</v>
      </c>
      <c r="AC229" s="26">
        <v>0.6</v>
      </c>
    </row>
    <row r="230">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Z230" s="68"/>
      <c r="AB230" s="90" t="s">
        <v>265</v>
      </c>
      <c r="AC230" s="26">
        <v>0.25</v>
      </c>
    </row>
    <row r="231">
      <c r="B231" s="299" t="s">
        <v>266</v>
      </c>
      <c r="C231" s="300"/>
      <c r="D231" s="301" t="s">
        <v>267</v>
      </c>
      <c r="E231" s="100" t="s">
        <v>120</v>
      </c>
      <c r="F231" s="101" t="s">
        <v>121</v>
      </c>
      <c r="G231" s="302" t="s">
        <v>268</v>
      </c>
      <c r="H231" s="302" t="s">
        <v>269</v>
      </c>
      <c r="I231" s="101" t="s">
        <v>270</v>
      </c>
      <c r="J231" s="101" t="s">
        <v>271</v>
      </c>
      <c r="K231" s="101" t="s">
        <v>272</v>
      </c>
      <c r="L231" s="303" t="s">
        <v>273</v>
      </c>
      <c r="M231" s="304" t="s">
        <v>274</v>
      </c>
      <c r="N231" s="101" t="s">
        <v>275</v>
      </c>
      <c r="O231" s="303" t="s">
        <v>276</v>
      </c>
      <c r="P231" s="302" t="s">
        <v>277</v>
      </c>
      <c r="Q231" s="303" t="s">
        <v>278</v>
      </c>
      <c r="R231" s="101" t="s">
        <v>276</v>
      </c>
      <c r="S231" s="303"/>
      <c r="T231" s="303" t="s">
        <v>279</v>
      </c>
      <c r="U231" s="305" t="s">
        <v>280</v>
      </c>
      <c r="V231" s="68"/>
      <c r="W231" s="68"/>
      <c r="X231" s="68"/>
      <c r="Y231" s="68"/>
      <c r="Z231" s="293" t="s">
        <v>281</v>
      </c>
      <c r="AA231" s="71" t="s">
        <v>282</v>
      </c>
      <c r="AB231" s="26" t="s">
        <v>283</v>
      </c>
      <c r="AC231" s="26" t="s">
        <v>284</v>
      </c>
    </row>
    <row r="232">
      <c r="B232" s="113" t="s">
        <v>285</v>
      </c>
      <c r="C232" s="115" t="s">
        <v>286</v>
      </c>
      <c r="D232" s="115" t="s">
        <v>287</v>
      </c>
      <c r="E232" s="306" t="s">
        <v>288</v>
      </c>
      <c r="F232" s="115" t="s">
        <v>186</v>
      </c>
      <c r="G232" s="111" t="s">
        <v>289</v>
      </c>
      <c r="H232" s="111" t="s">
        <v>290</v>
      </c>
      <c r="I232" s="111" t="s">
        <v>291</v>
      </c>
      <c r="J232" s="111" t="s">
        <v>140</v>
      </c>
      <c r="K232" s="111" t="s">
        <v>292</v>
      </c>
      <c r="L232" s="115" t="s">
        <v>293</v>
      </c>
      <c r="M232" s="115" t="s">
        <v>294</v>
      </c>
      <c r="N232" s="111" t="s">
        <v>295</v>
      </c>
      <c r="O232" s="111" t="s">
        <v>296</v>
      </c>
      <c r="P232" s="111" t="s">
        <v>297</v>
      </c>
      <c r="Q232" s="111" t="s">
        <v>298</v>
      </c>
      <c r="R232" s="111" t="s">
        <v>299</v>
      </c>
      <c r="S232" s="115" t="s">
        <v>300</v>
      </c>
      <c r="T232" s="307" t="s">
        <v>301</v>
      </c>
      <c r="U232" s="112" t="s">
        <v>302</v>
      </c>
      <c r="V232" s="68"/>
      <c r="W232" s="68"/>
      <c r="X232" s="68"/>
      <c r="Y232" s="68"/>
      <c r="Z232" s="293" t="s">
        <v>303</v>
      </c>
      <c r="AA232" s="71" t="s">
        <v>304</v>
      </c>
      <c r="AB232" s="26" t="s">
        <v>305</v>
      </c>
      <c r="AC232" s="26" t="s">
        <v>306</v>
      </c>
    </row>
    <row r="233">
      <c r="B233" s="113" t="s">
        <v>307</v>
      </c>
      <c r="C233" s="115" t="s">
        <v>308</v>
      </c>
      <c r="D233" s="115" t="s">
        <v>309</v>
      </c>
      <c r="E233" s="306" t="s">
        <v>134</v>
      </c>
      <c r="G233" s="111" t="s">
        <v>310</v>
      </c>
      <c r="H233" s="115" t="s">
        <v>311</v>
      </c>
      <c r="I233" s="111" t="s">
        <v>135</v>
      </c>
      <c r="J233" s="111" t="s">
        <v>312</v>
      </c>
      <c r="K233" s="111" t="s">
        <v>313</v>
      </c>
      <c r="L233" s="115" t="s">
        <v>314</v>
      </c>
      <c r="M233" s="115" t="s">
        <v>84</v>
      </c>
      <c r="N233" s="110" t="s">
        <v>315</v>
      </c>
      <c r="O233" s="308" t="s">
        <v>518</v>
      </c>
      <c r="P233" s="111" t="s">
        <v>87</v>
      </c>
      <c r="Q233" s="308" t="s">
        <v>519</v>
      </c>
      <c r="R233" s="111" t="s">
        <v>318</v>
      </c>
      <c r="S233" s="110" t="s">
        <v>319</v>
      </c>
      <c r="T233" s="115" t="s">
        <v>134</v>
      </c>
      <c r="U233" s="309"/>
      <c r="V233" s="68"/>
      <c r="W233" s="68"/>
      <c r="X233" s="68"/>
      <c r="Y233" s="68"/>
      <c r="Z233" s="293" t="s">
        <v>320</v>
      </c>
      <c r="AA233" s="68"/>
      <c r="AB233" s="68"/>
      <c r="AC233" s="26" t="s">
        <v>321</v>
      </c>
    </row>
    <row r="234">
      <c r="B234" s="126"/>
      <c r="C234" s="121"/>
      <c r="D234" s="310"/>
      <c r="E234" s="126"/>
      <c r="F234" s="311"/>
      <c r="G234" s="125"/>
      <c r="H234" s="125" t="s">
        <v>322</v>
      </c>
      <c r="I234" s="125" t="s">
        <v>323</v>
      </c>
      <c r="J234" s="121" t="s">
        <v>134</v>
      </c>
      <c r="K234" s="121" t="s">
        <v>324</v>
      </c>
      <c r="L234" s="312" t="s">
        <v>520</v>
      </c>
      <c r="M234" s="313" t="s">
        <v>326</v>
      </c>
      <c r="N234" s="314" t="s">
        <v>327</v>
      </c>
      <c r="O234" s="315" t="s">
        <v>328</v>
      </c>
      <c r="P234" s="312" t="s">
        <v>329</v>
      </c>
      <c r="Q234" s="316" t="s">
        <v>330</v>
      </c>
      <c r="R234" s="314" t="s">
        <v>331</v>
      </c>
      <c r="S234" s="317"/>
      <c r="T234" s="317"/>
      <c r="U234" s="318" t="s">
        <v>332</v>
      </c>
      <c r="V234" s="68"/>
      <c r="W234" s="68"/>
      <c r="X234" s="68"/>
      <c r="Y234" s="68"/>
      <c r="Z234" s="293" t="s">
        <v>144</v>
      </c>
      <c r="AA234" s="71" t="s">
        <v>144</v>
      </c>
      <c r="AB234" s="26" t="s">
        <v>319</v>
      </c>
    </row>
    <row r="235">
      <c r="B235" s="319"/>
      <c r="C235" s="320"/>
      <c r="D235" s="321">
        <f t="shared" ref="D235:D245" si="133">D19</f>
        <v>0</v>
      </c>
      <c r="E235" s="155">
        <f>'WAP for Y-AXIS Walls'!E196</f>
        <v>0.15</v>
      </c>
      <c r="F235" s="449">
        <f>'WAP for Y-AXIS Walls'!F196</f>
        <v>6.9</v>
      </c>
      <c r="G235" s="279">
        <v>2.9</v>
      </c>
      <c r="H235" s="323">
        <f>0.5*(('WAP for Y-AXIS Walls'!F196*145.038)*900)/145.038</f>
        <v>3105</v>
      </c>
      <c r="I235" s="323">
        <f t="shared" ref="I235:I236" si="134">H235*0.4</f>
        <v>1242</v>
      </c>
      <c r="J235" s="135">
        <f>'WAP for Y-AXIS Walls'!D196</f>
        <v>1.3</v>
      </c>
      <c r="K235" s="324">
        <f t="shared" ref="K235:K236" si="135">if(J235=0,0,G235/J235)</f>
        <v>2.230769231</v>
      </c>
      <c r="L235" s="325">
        <f>J235*E235*'WAP for Y-AXIS Walls'!G196</f>
        <v>0.08541</v>
      </c>
      <c r="M235" s="325">
        <f t="shared" ref="M235:M236" si="136">if(J235=0,0,L235/J235)</f>
        <v>0.0657</v>
      </c>
      <c r="N235" s="326">
        <f t="shared" ref="N235:N236" si="137">M235*J235^3/12</f>
        <v>0.012028575</v>
      </c>
      <c r="O235" s="327">
        <f t="shared" ref="O235:O236" si="138">H235*1000*N235*3/G235^3</f>
        <v>4594.127522</v>
      </c>
      <c r="P235" s="136">
        <f t="shared" ref="P235:P236" si="139">5/6*L235</f>
        <v>0.071175</v>
      </c>
      <c r="Q235" s="327">
        <f t="shared" ref="Q235:Q236" si="140">I235*1000*P235/G235</f>
        <v>30482.53448</v>
      </c>
      <c r="R235" s="327">
        <f t="shared" ref="R235:R236" si="141">IF(OR(Q235=0,O235=0),0,(1/(1/O235+1/Q235)))</f>
        <v>3992.416684</v>
      </c>
      <c r="S235" s="327">
        <f t="shared" ref="S235:S236" si="142">R235*D235</f>
        <v>0</v>
      </c>
      <c r="T235" s="328">
        <f t="shared" ref="T235:T236" si="143">D235-$G$148</f>
        <v>-10.09928346</v>
      </c>
      <c r="U235" s="329">
        <f t="shared" ref="U235:U236" si="144">R235*T235^2</f>
        <v>407208.6409</v>
      </c>
      <c r="V235" s="68"/>
      <c r="W235" s="68"/>
      <c r="X235" s="68"/>
      <c r="Y235" s="68"/>
      <c r="Z235" s="331"/>
      <c r="AA235" s="332">
        <f>Z237</f>
        <v>0.1301369863</v>
      </c>
      <c r="AB235" s="333">
        <f t="shared" ref="AB235:AB236" si="145">AA235*$AA$252</f>
        <v>43.6581981</v>
      </c>
      <c r="AC235" s="334">
        <f t="shared" ref="AC235:AC236" si="146">AB235*$AC$12*$AC$13*$AC$14</f>
        <v>3.274364858</v>
      </c>
    </row>
    <row r="236">
      <c r="B236" s="319"/>
      <c r="C236" s="320"/>
      <c r="D236" s="321">
        <f t="shared" si="133"/>
        <v>0</v>
      </c>
      <c r="E236" s="155">
        <f>'WAP for Y-AXIS Walls'!E197</f>
        <v>0.15</v>
      </c>
      <c r="F236" s="449">
        <f>'WAP for Y-AXIS Walls'!F197</f>
        <v>6.9</v>
      </c>
      <c r="G236" s="279">
        <v>2.9</v>
      </c>
      <c r="H236" s="323">
        <f>0.5*(('WAP for Y-AXIS Walls'!F197*145.038)*900)/145.038</f>
        <v>3105</v>
      </c>
      <c r="I236" s="323">
        <f t="shared" si="134"/>
        <v>1242</v>
      </c>
      <c r="J236" s="135">
        <f>'WAP for Y-AXIS Walls'!D197</f>
        <v>1.6</v>
      </c>
      <c r="K236" s="324">
        <f t="shared" si="135"/>
        <v>1.8125</v>
      </c>
      <c r="L236" s="325">
        <f>J236*E236*'WAP for Y-AXIS Walls'!G197</f>
        <v>0.10512</v>
      </c>
      <c r="M236" s="325">
        <f t="shared" si="136"/>
        <v>0.0657</v>
      </c>
      <c r="N236" s="326">
        <f t="shared" si="137"/>
        <v>0.0224256</v>
      </c>
      <c r="O236" s="327">
        <f t="shared" si="138"/>
        <v>8565.109845</v>
      </c>
      <c r="P236" s="136">
        <f t="shared" si="139"/>
        <v>0.0876</v>
      </c>
      <c r="Q236" s="327">
        <f t="shared" si="140"/>
        <v>37516.96552</v>
      </c>
      <c r="R236" s="327">
        <f t="shared" si="141"/>
        <v>6973.143639</v>
      </c>
      <c r="S236" s="327">
        <f t="shared" si="142"/>
        <v>0</v>
      </c>
      <c r="T236" s="328">
        <f t="shared" si="143"/>
        <v>-10.09928346</v>
      </c>
      <c r="U236" s="329">
        <f t="shared" si="144"/>
        <v>711229.4555</v>
      </c>
      <c r="V236" s="68"/>
      <c r="W236" s="68"/>
      <c r="X236" s="68"/>
      <c r="Y236" s="68"/>
      <c r="Z236" s="336"/>
      <c r="AA236" s="438">
        <v>0.0</v>
      </c>
      <c r="AB236" s="333">
        <f t="shared" si="145"/>
        <v>0</v>
      </c>
      <c r="AC236" s="334">
        <f t="shared" si="146"/>
        <v>0</v>
      </c>
    </row>
    <row r="237">
      <c r="B237" s="439">
        <f t="shared" ref="B237:B246" si="147">B21</f>
        <v>0.85</v>
      </c>
      <c r="C237" s="320">
        <f t="shared" ref="C237:C246" si="148">C128</f>
        <v>5.9755</v>
      </c>
      <c r="D237" s="321" t="str">
        <f t="shared" si="133"/>
        <v/>
      </c>
      <c r="E237" s="155"/>
      <c r="F237" s="155" t="str">
        <f>'WAP for Y-AXIS Walls'!E198</f>
        <v/>
      </c>
      <c r="G237" s="339"/>
      <c r="H237" s="323"/>
      <c r="I237" s="323"/>
      <c r="J237" s="135" t="str">
        <f>'WAP for Y-AXIS Walls'!D198</f>
        <v/>
      </c>
      <c r="K237" s="324"/>
      <c r="L237" s="325"/>
      <c r="M237" s="325"/>
      <c r="N237" s="326"/>
      <c r="O237" s="327"/>
      <c r="P237" s="136"/>
      <c r="Q237" s="327"/>
      <c r="R237" s="327"/>
      <c r="S237" s="327"/>
      <c r="T237" s="328"/>
      <c r="U237" s="329"/>
      <c r="V237" s="68"/>
      <c r="W237" s="68"/>
      <c r="X237" s="68"/>
      <c r="Y237" s="68"/>
      <c r="Z237" s="336">
        <f>'WAP for Y-AXIS Walls'!O198/'WAP for Y-AXIS Walls'!$O$209</f>
        <v>0.1301369863</v>
      </c>
      <c r="AA237" s="332"/>
    </row>
    <row r="238">
      <c r="B238" s="439" t="str">
        <f t="shared" si="147"/>
        <v/>
      </c>
      <c r="C238" s="320" t="str">
        <f t="shared" si="148"/>
        <v/>
      </c>
      <c r="D238" s="321">
        <f t="shared" si="133"/>
        <v>3.6</v>
      </c>
      <c r="E238" s="155">
        <f>'WAP for Y-AXIS Walls'!E199</f>
        <v>0.15</v>
      </c>
      <c r="F238" s="449">
        <f>'WAP for Y-AXIS Walls'!F199</f>
        <v>6.9</v>
      </c>
      <c r="G238" s="279">
        <v>2.9</v>
      </c>
      <c r="H238" s="323">
        <f>0.5*(('WAP for Y-AXIS Walls'!F199*145.038)*900)/145.038</f>
        <v>3105</v>
      </c>
      <c r="I238" s="323">
        <f>H238*0.4</f>
        <v>1242</v>
      </c>
      <c r="J238" s="135">
        <f>'WAP for Y-AXIS Walls'!D199</f>
        <v>1.9</v>
      </c>
      <c r="K238" s="324">
        <f>if(J238=0,0,G238/J238)</f>
        <v>1.526315789</v>
      </c>
      <c r="L238" s="325">
        <f>J238*E238*'WAP for Y-AXIS Walls'!G199</f>
        <v>0.12483</v>
      </c>
      <c r="M238" s="325">
        <f>if(J238=0,0,L238/J238)</f>
        <v>0.0657</v>
      </c>
      <c r="N238" s="326">
        <f>M238*J238^3/12</f>
        <v>0.037553025</v>
      </c>
      <c r="O238" s="327">
        <f>H238*1000*N238*3/G238^3</f>
        <v>14342.79503</v>
      </c>
      <c r="P238" s="136">
        <f>5/6*L238</f>
        <v>0.104025</v>
      </c>
      <c r="Q238" s="327">
        <f>I238*1000*P238/G238</f>
        <v>44551.39655</v>
      </c>
      <c r="R238" s="327">
        <f>IF(OR(Q238=0,O238=0),0,(1/(1/O238+1/Q238)))</f>
        <v>10849.82291</v>
      </c>
      <c r="S238" s="327">
        <f>R238*D238</f>
        <v>39059.36246</v>
      </c>
      <c r="T238" s="328">
        <f>D238-$G$148</f>
        <v>-6.499283455</v>
      </c>
      <c r="U238" s="329">
        <f>R238*T238^2</f>
        <v>458303.9564</v>
      </c>
      <c r="V238" s="68"/>
      <c r="W238" s="68"/>
      <c r="X238" s="68"/>
      <c r="Y238" s="68"/>
      <c r="Z238" s="331"/>
      <c r="AA238" s="332">
        <f>Z239</f>
        <v>0.2465753425</v>
      </c>
      <c r="AB238" s="333">
        <f>AA238*$AA$252</f>
        <v>82.7207964</v>
      </c>
      <c r="AC238" s="334">
        <f>AB238*$AC$12*$AC$13*$AC$14</f>
        <v>6.20405973</v>
      </c>
    </row>
    <row r="239">
      <c r="B239" s="439">
        <f t="shared" si="147"/>
        <v>3.6</v>
      </c>
      <c r="C239" s="320">
        <f t="shared" si="148"/>
        <v>47.952</v>
      </c>
      <c r="D239" s="321" t="str">
        <f t="shared" si="133"/>
        <v/>
      </c>
      <c r="E239" s="155"/>
      <c r="F239" s="155" t="str">
        <f>'WAP for Y-AXIS Walls'!E200</f>
        <v/>
      </c>
      <c r="G239" s="339"/>
      <c r="H239" s="323"/>
      <c r="I239" s="323"/>
      <c r="J239" s="135" t="str">
        <f>'WAP for Y-AXIS Walls'!D200</f>
        <v/>
      </c>
      <c r="K239" s="324"/>
      <c r="L239" s="325"/>
      <c r="M239" s="325"/>
      <c r="N239" s="326"/>
      <c r="O239" s="327"/>
      <c r="P239" s="328"/>
      <c r="Q239" s="327"/>
      <c r="R239" s="327"/>
      <c r="S239" s="327"/>
      <c r="T239" s="328"/>
      <c r="U239" s="329"/>
      <c r="V239" s="68"/>
      <c r="W239" s="68"/>
      <c r="X239" s="68"/>
      <c r="Y239" s="68"/>
      <c r="Z239" s="336">
        <f>'WAP for Y-AXIS Walls'!O200/'WAP for Y-AXIS Walls'!$O$209</f>
        <v>0.2465753425</v>
      </c>
      <c r="AA239" s="332"/>
    </row>
    <row r="240">
      <c r="B240" s="439" t="str">
        <f t="shared" si="147"/>
        <v/>
      </c>
      <c r="C240" s="320" t="str">
        <f t="shared" si="148"/>
        <v/>
      </c>
      <c r="D240" s="321">
        <f t="shared" si="133"/>
        <v>7.2</v>
      </c>
      <c r="E240" s="155">
        <f>'WAP for Y-AXIS Walls'!E201</f>
        <v>0.15</v>
      </c>
      <c r="F240" s="449">
        <f>'WAP for Y-AXIS Walls'!F201</f>
        <v>6.9</v>
      </c>
      <c r="G240" s="279">
        <v>2.9</v>
      </c>
      <c r="H240" s="323">
        <f>0.5*(('WAP for Y-AXIS Walls'!F201*145.038)*900)/145.038</f>
        <v>3105</v>
      </c>
      <c r="I240" s="323">
        <f>H240*0.4</f>
        <v>1242</v>
      </c>
      <c r="J240" s="135">
        <f>'WAP for Y-AXIS Walls'!D201</f>
        <v>1.9</v>
      </c>
      <c r="K240" s="324">
        <f>if(J240=0,0,G240/J240)</f>
        <v>1.526315789</v>
      </c>
      <c r="L240" s="325">
        <f>J240*E240*'WAP for Y-AXIS Walls'!G201</f>
        <v>0.12483</v>
      </c>
      <c r="M240" s="325">
        <f>if(J240=0,0,L240/J240)</f>
        <v>0.0657</v>
      </c>
      <c r="N240" s="326">
        <f>M240*J240^3/12</f>
        <v>0.037553025</v>
      </c>
      <c r="O240" s="327">
        <f>H240*1000*N240*3/G240^3</f>
        <v>14342.79503</v>
      </c>
      <c r="P240" s="136">
        <f>5/6*L240</f>
        <v>0.104025</v>
      </c>
      <c r="Q240" s="327">
        <f>I240*1000*P240/G240</f>
        <v>44551.39655</v>
      </c>
      <c r="R240" s="327">
        <f>IF(OR(Q240=0,O240=0),0,(1/(1/O240+1/Q240)))</f>
        <v>10849.82291</v>
      </c>
      <c r="S240" s="327">
        <f>R240*D240</f>
        <v>78118.72493</v>
      </c>
      <c r="T240" s="328">
        <f>D240-$G$148</f>
        <v>-2.899283455</v>
      </c>
      <c r="U240" s="329">
        <f>R240*T240^2</f>
        <v>91201.9248</v>
      </c>
      <c r="V240" s="68"/>
      <c r="W240" s="68"/>
      <c r="X240" s="68"/>
      <c r="Y240" s="68"/>
      <c r="Z240" s="331"/>
      <c r="AA240" s="332">
        <f>Z241</f>
        <v>0.2465753425</v>
      </c>
      <c r="AB240" s="333">
        <f>AA240*$AA$252</f>
        <v>82.7207964</v>
      </c>
      <c r="AC240" s="334">
        <f>AB240*$AC$12*$AC$13*$AC$14</f>
        <v>6.20405973</v>
      </c>
    </row>
    <row r="241">
      <c r="B241" s="439">
        <f t="shared" si="147"/>
        <v>7.2</v>
      </c>
      <c r="C241" s="320">
        <f t="shared" si="148"/>
        <v>95.904</v>
      </c>
      <c r="D241" s="321" t="str">
        <f t="shared" si="133"/>
        <v/>
      </c>
      <c r="E241" s="155"/>
      <c r="F241" s="155" t="str">
        <f>'WAP for Y-AXIS Walls'!E202</f>
        <v/>
      </c>
      <c r="G241" s="339"/>
      <c r="H241" s="323"/>
      <c r="I241" s="323"/>
      <c r="J241" s="135" t="str">
        <f>'WAP for Y-AXIS Walls'!D202</f>
        <v/>
      </c>
      <c r="K241" s="324"/>
      <c r="L241" s="325"/>
      <c r="M241" s="325"/>
      <c r="N241" s="326"/>
      <c r="O241" s="327"/>
      <c r="P241" s="136"/>
      <c r="Q241" s="327"/>
      <c r="R241" s="327"/>
      <c r="S241" s="327"/>
      <c r="T241" s="328"/>
      <c r="U241" s="329"/>
      <c r="V241" s="68"/>
      <c r="W241" s="68"/>
      <c r="X241" s="68"/>
      <c r="Y241" s="68"/>
      <c r="Z241" s="336">
        <f>'WAP for Y-AXIS Walls'!O202/'WAP for Y-AXIS Walls'!$O$209</f>
        <v>0.2465753425</v>
      </c>
      <c r="AA241" s="332"/>
    </row>
    <row r="242">
      <c r="B242" s="439" t="str">
        <f t="shared" si="147"/>
        <v/>
      </c>
      <c r="C242" s="320" t="str">
        <f t="shared" si="148"/>
        <v/>
      </c>
      <c r="D242" s="321">
        <f t="shared" si="133"/>
        <v>10.8</v>
      </c>
      <c r="E242" s="155">
        <f>'WAP for Y-AXIS Walls'!E203</f>
        <v>0.15</v>
      </c>
      <c r="F242" s="449">
        <f>'WAP for Y-AXIS Walls'!F203</f>
        <v>6.9</v>
      </c>
      <c r="G242" s="279">
        <v>2.9</v>
      </c>
      <c r="H242" s="323">
        <f>0.5*(('WAP for Y-AXIS Walls'!F203*145.038)*900)/145.038</f>
        <v>3105</v>
      </c>
      <c r="I242" s="323">
        <f>H242*0.4</f>
        <v>1242</v>
      </c>
      <c r="J242" s="135">
        <f>'WAP for Y-AXIS Walls'!D203</f>
        <v>1.9</v>
      </c>
      <c r="K242" s="324">
        <f>if(J242=0,0,G242/J242)</f>
        <v>1.526315789</v>
      </c>
      <c r="L242" s="325">
        <f>J242*E242*'WAP for Y-AXIS Walls'!G203</f>
        <v>0.12483</v>
      </c>
      <c r="M242" s="325">
        <f>if(J242=0,0,L242/J242)</f>
        <v>0.0657</v>
      </c>
      <c r="N242" s="326">
        <f>M242*J242^3/12</f>
        <v>0.037553025</v>
      </c>
      <c r="O242" s="327">
        <f>H242*1000*N242*3/G242^3</f>
        <v>14342.79503</v>
      </c>
      <c r="P242" s="136">
        <f>5/6*L242</f>
        <v>0.104025</v>
      </c>
      <c r="Q242" s="327">
        <f>I242*1000*P242/G242</f>
        <v>44551.39655</v>
      </c>
      <c r="R242" s="327">
        <f>IF(OR(Q242=0,O242=0),0,(1/(1/O242+1/Q242)))</f>
        <v>10849.82291</v>
      </c>
      <c r="S242" s="327">
        <f>R242*D242</f>
        <v>117178.0874</v>
      </c>
      <c r="T242" s="328">
        <f>D242-$G$148</f>
        <v>0.7007165447</v>
      </c>
      <c r="U242" s="329">
        <f>R242*T242^2</f>
        <v>5327.302931</v>
      </c>
      <c r="V242" s="68"/>
      <c r="W242" s="68"/>
      <c r="X242" s="68"/>
      <c r="Y242" s="68"/>
      <c r="Z242" s="331"/>
      <c r="AA242" s="332">
        <f>Z243</f>
        <v>0.2465753425</v>
      </c>
      <c r="AB242" s="333">
        <f>AA242*$AA$252</f>
        <v>82.7207964</v>
      </c>
      <c r="AC242" s="334">
        <f>AB242*$AC$12*$AC$13*$AC$14</f>
        <v>6.20405973</v>
      </c>
    </row>
    <row r="243">
      <c r="B243" s="439">
        <f t="shared" si="147"/>
        <v>10.8</v>
      </c>
      <c r="C243" s="320">
        <f t="shared" si="148"/>
        <v>143.856</v>
      </c>
      <c r="D243" s="321" t="str">
        <f t="shared" si="133"/>
        <v/>
      </c>
      <c r="E243" s="155"/>
      <c r="F243" s="155" t="str">
        <f>'WAP for Y-AXIS Walls'!E204</f>
        <v/>
      </c>
      <c r="G243" s="339"/>
      <c r="H243" s="323"/>
      <c r="I243" s="323"/>
      <c r="J243" s="135" t="str">
        <f>'WAP for Y-AXIS Walls'!D204</f>
        <v/>
      </c>
      <c r="K243" s="324"/>
      <c r="L243" s="325"/>
      <c r="M243" s="325"/>
      <c r="N243" s="326"/>
      <c r="O243" s="327"/>
      <c r="P243" s="328"/>
      <c r="Q243" s="327"/>
      <c r="R243" s="327"/>
      <c r="S243" s="327"/>
      <c r="T243" s="328"/>
      <c r="U243" s="329"/>
      <c r="V243" s="68"/>
      <c r="W243" s="68"/>
      <c r="X243" s="68"/>
      <c r="Y243" s="68"/>
      <c r="Z243" s="336">
        <f>'WAP for Y-AXIS Walls'!O204/'WAP for Y-AXIS Walls'!$O$209</f>
        <v>0.2465753425</v>
      </c>
      <c r="AA243" s="332"/>
    </row>
    <row r="244">
      <c r="B244" s="439" t="str">
        <f t="shared" si="147"/>
        <v/>
      </c>
      <c r="C244" s="320" t="str">
        <f t="shared" si="148"/>
        <v/>
      </c>
      <c r="D244" s="321">
        <f t="shared" si="133"/>
        <v>14.4</v>
      </c>
      <c r="E244" s="155">
        <f>'WAP for Y-AXIS Walls'!E205</f>
        <v>0.15</v>
      </c>
      <c r="F244" s="449">
        <f>'WAP for Y-AXIS Walls'!F205</f>
        <v>6.9</v>
      </c>
      <c r="G244" s="279">
        <v>2.9</v>
      </c>
      <c r="H244" s="323">
        <f>0.5*(('WAP for Y-AXIS Walls'!F205*145.038)*900)/145.038</f>
        <v>3105</v>
      </c>
      <c r="I244" s="323">
        <f t="shared" ref="I244:I245" si="149">H244*0.4</f>
        <v>1242</v>
      </c>
      <c r="J244" s="135">
        <f>'WAP for Y-AXIS Walls'!D205</f>
        <v>1.25</v>
      </c>
      <c r="K244" s="324">
        <f t="shared" ref="K244:K245" si="150">if(J244=0,0,G244/J244)</f>
        <v>2.32</v>
      </c>
      <c r="L244" s="325">
        <f>J244*E244*'WAP for Y-AXIS Walls'!G205</f>
        <v>0.082125</v>
      </c>
      <c r="M244" s="325">
        <f t="shared" ref="M244:M245" si="151">if(J244=0,0,L244/J244)</f>
        <v>0.0657</v>
      </c>
      <c r="N244" s="326">
        <f t="shared" ref="N244:N245" si="152">M244*J244^3/12</f>
        <v>0.01069335938</v>
      </c>
      <c r="O244" s="327">
        <f t="shared" ref="O244:O245" si="153">H244*1000*N244*3/G244^3</f>
        <v>4084.162638</v>
      </c>
      <c r="P244" s="136">
        <f t="shared" ref="P244:P245" si="154">5/6*L244</f>
        <v>0.0684375</v>
      </c>
      <c r="Q244" s="327">
        <f t="shared" ref="Q244:Q245" si="155">I244*1000*P244/G244</f>
        <v>29310.12931</v>
      </c>
      <c r="R244" s="327">
        <f t="shared" ref="R244:R245" si="156">IF(OR(Q244=0,O244=0),0,(1/(1/O244+1/Q244)))</f>
        <v>3584.664566</v>
      </c>
      <c r="S244" s="327">
        <f t="shared" ref="S244:S245" si="157">R244*D244</f>
        <v>51619.16975</v>
      </c>
      <c r="T244" s="328">
        <f t="shared" ref="T244:T245" si="158">D244-$G$148</f>
        <v>4.300716545</v>
      </c>
      <c r="U244" s="329">
        <f t="shared" ref="U244:U245" si="159">R244*T244^2</f>
        <v>66302.53938</v>
      </c>
      <c r="V244" s="68"/>
      <c r="W244" s="68"/>
      <c r="X244" s="68"/>
      <c r="Y244" s="68"/>
      <c r="Z244" s="331"/>
      <c r="AA244" s="332">
        <f>Z246</f>
        <v>0.1301369863</v>
      </c>
      <c r="AB244" s="333">
        <f t="shared" ref="AB244:AB245" si="160">AA244*$AA$252</f>
        <v>43.6581981</v>
      </c>
      <c r="AC244" s="334">
        <f t="shared" ref="AC244:AC245" si="161">AB244*$AC$12*$AC$13*$AC$14</f>
        <v>3.274364858</v>
      </c>
    </row>
    <row r="245">
      <c r="B245" s="439" t="str">
        <f t="shared" si="147"/>
        <v/>
      </c>
      <c r="C245" s="320" t="str">
        <f t="shared" si="148"/>
        <v/>
      </c>
      <c r="D245" s="321">
        <f t="shared" si="133"/>
        <v>14.4</v>
      </c>
      <c r="E245" s="155">
        <f>'WAP for Y-AXIS Walls'!E206</f>
        <v>0.15</v>
      </c>
      <c r="F245" s="449">
        <f>'WAP for Y-AXIS Walls'!F206</f>
        <v>6.9</v>
      </c>
      <c r="G245" s="279">
        <v>2.9</v>
      </c>
      <c r="H245" s="323">
        <f>0.5*(('WAP for Y-AXIS Walls'!F206*145.038)*900)/145.038</f>
        <v>3105</v>
      </c>
      <c r="I245" s="323">
        <f t="shared" si="149"/>
        <v>1242</v>
      </c>
      <c r="J245" s="135">
        <f>'WAP for Y-AXIS Walls'!D206</f>
        <v>1.25</v>
      </c>
      <c r="K245" s="324">
        <f t="shared" si="150"/>
        <v>2.32</v>
      </c>
      <c r="L245" s="325">
        <f>J245*E245*'WAP for Y-AXIS Walls'!G206</f>
        <v>0.082125</v>
      </c>
      <c r="M245" s="325">
        <f t="shared" si="151"/>
        <v>0.0657</v>
      </c>
      <c r="N245" s="326">
        <f t="shared" si="152"/>
        <v>0.01069335938</v>
      </c>
      <c r="O245" s="327">
        <f t="shared" si="153"/>
        <v>4084.162638</v>
      </c>
      <c r="P245" s="136">
        <f t="shared" si="154"/>
        <v>0.0684375</v>
      </c>
      <c r="Q245" s="327">
        <f t="shared" si="155"/>
        <v>29310.12931</v>
      </c>
      <c r="R245" s="327">
        <f t="shared" si="156"/>
        <v>3584.664566</v>
      </c>
      <c r="S245" s="327">
        <f t="shared" si="157"/>
        <v>51619.16975</v>
      </c>
      <c r="T245" s="328">
        <f t="shared" si="158"/>
        <v>4.300716545</v>
      </c>
      <c r="U245" s="329">
        <f t="shared" si="159"/>
        <v>66302.53938</v>
      </c>
      <c r="V245" s="68"/>
      <c r="W245" s="68"/>
      <c r="X245" s="68"/>
      <c r="Y245" s="68"/>
      <c r="Z245" s="336"/>
      <c r="AA245" s="438">
        <v>0.0</v>
      </c>
      <c r="AB245" s="333">
        <f t="shared" si="160"/>
        <v>0</v>
      </c>
      <c r="AC245" s="334">
        <f t="shared" si="161"/>
        <v>0</v>
      </c>
    </row>
    <row r="246">
      <c r="B246" s="439">
        <f t="shared" si="147"/>
        <v>13.55</v>
      </c>
      <c r="C246" s="320">
        <f t="shared" si="148"/>
        <v>95.2565</v>
      </c>
      <c r="D246" s="321"/>
      <c r="E246" s="155"/>
      <c r="F246" s="155"/>
      <c r="G246" s="286"/>
      <c r="H246" s="324"/>
      <c r="I246" s="82"/>
      <c r="J246" s="135"/>
      <c r="K246" s="324"/>
      <c r="L246" s="82"/>
      <c r="M246" s="82"/>
      <c r="N246" s="136"/>
      <c r="O246" s="327"/>
      <c r="P246" s="328"/>
      <c r="Q246" s="327"/>
      <c r="R246" s="327"/>
      <c r="S246" s="327"/>
      <c r="T246" s="82"/>
      <c r="U246" s="342"/>
      <c r="V246" s="68"/>
      <c r="W246" s="68"/>
      <c r="X246" s="68"/>
      <c r="Y246" s="68"/>
      <c r="Z246" s="336">
        <f>'WAP for Y-AXIS Walls'!O207/'WAP for Y-AXIS Walls'!$O$209</f>
        <v>0.1301369863</v>
      </c>
      <c r="AA246" s="332"/>
    </row>
    <row r="247">
      <c r="B247" s="156"/>
      <c r="C247" s="343"/>
      <c r="D247" s="344"/>
      <c r="E247" s="440"/>
      <c r="F247" s="440"/>
      <c r="G247" s="152"/>
      <c r="H247" s="440"/>
      <c r="I247" s="127"/>
      <c r="J247" s="347"/>
      <c r="K247" s="440"/>
      <c r="L247" s="127"/>
      <c r="M247" s="127"/>
      <c r="N247" s="163"/>
      <c r="O247" s="441"/>
      <c r="P247" s="347"/>
      <c r="Q247" s="441"/>
      <c r="R247" s="441"/>
      <c r="S247" s="441"/>
      <c r="T247" s="127"/>
      <c r="U247" s="442"/>
      <c r="V247" s="68"/>
      <c r="W247" s="68"/>
      <c r="X247" s="68"/>
      <c r="Y247" s="68"/>
      <c r="Z247" s="291"/>
      <c r="AA247" s="68"/>
    </row>
    <row r="248">
      <c r="B248" s="345"/>
      <c r="C248" s="346">
        <f>SUM(C235:C247)</f>
        <v>388.944</v>
      </c>
      <c r="D248" s="443" t="str">
        <f>D246</f>
        <v/>
      </c>
      <c r="E248" s="444"/>
      <c r="F248" s="444"/>
      <c r="G248" s="349"/>
      <c r="H248" s="444"/>
      <c r="I248" s="444"/>
      <c r="J248" s="444"/>
      <c r="K248" s="444"/>
      <c r="L248" s="444"/>
      <c r="M248" s="444"/>
      <c r="N248" s="444"/>
      <c r="O248" s="127"/>
      <c r="P248" s="127"/>
      <c r="Q248" s="444"/>
      <c r="R248" s="441">
        <f t="shared" ref="R248:S248" si="162">sum(R235:R247)</f>
        <v>50684.35817</v>
      </c>
      <c r="S248" s="441">
        <f t="shared" si="162"/>
        <v>337594.5143</v>
      </c>
      <c r="T248" s="399" t="s">
        <v>521</v>
      </c>
      <c r="U248" s="445">
        <f>sum(U235:U247)</f>
        <v>1805876.359</v>
      </c>
      <c r="V248" s="68"/>
      <c r="W248" s="68"/>
      <c r="X248" s="68"/>
      <c r="Y248" s="68"/>
      <c r="Z248" s="332">
        <f>sum(Z235:Z247)</f>
        <v>1</v>
      </c>
      <c r="AA248" s="68"/>
      <c r="AB248" s="355">
        <f t="shared" ref="AB248:AC248" si="163">sum(AB235:AB247)</f>
        <v>335.4787854</v>
      </c>
      <c r="AC248" s="356">
        <f t="shared" si="163"/>
        <v>25.16090891</v>
      </c>
    </row>
    <row r="249">
      <c r="B249" s="68"/>
      <c r="C249" s="446">
        <f>C248/'WAP for Y-AXIS Walls'!O209</f>
        <v>7.2</v>
      </c>
      <c r="D249" s="80" t="s">
        <v>334</v>
      </c>
      <c r="E249" s="68"/>
      <c r="F249" s="68"/>
      <c r="G249" s="68"/>
      <c r="H249" s="68"/>
      <c r="I249" s="68"/>
      <c r="J249" s="68"/>
      <c r="K249" s="68"/>
      <c r="L249" s="68"/>
      <c r="M249" s="68"/>
      <c r="N249" s="328"/>
      <c r="P249" s="71" t="s">
        <v>522</v>
      </c>
      <c r="Q249" s="68"/>
      <c r="R249" s="358">
        <f>'Detailed Check X-AXIS Walls'!R250</f>
        <v>59368.95836</v>
      </c>
      <c r="T249" s="80" t="s">
        <v>336</v>
      </c>
      <c r="U249" s="358">
        <f>'Detailed Check X-AXIS Walls'!U250</f>
        <v>181817.435</v>
      </c>
      <c r="V249" s="68"/>
      <c r="W249" s="68"/>
      <c r="X249" s="68"/>
      <c r="Z249" s="68"/>
      <c r="AB249" s="26" t="s">
        <v>337</v>
      </c>
      <c r="AC249" s="334">
        <f>AB248*$AC$12*$AC$13*$AC$14</f>
        <v>25.16090891</v>
      </c>
    </row>
    <row r="250">
      <c r="B250" s="68"/>
      <c r="C250" s="68"/>
      <c r="D250" s="68"/>
      <c r="E250" s="68"/>
      <c r="F250" s="68"/>
      <c r="G250" s="68"/>
      <c r="H250" s="68"/>
      <c r="I250" s="68"/>
      <c r="J250" s="68"/>
      <c r="K250" s="68"/>
      <c r="L250" s="68"/>
      <c r="M250" s="68"/>
      <c r="N250" s="328"/>
      <c r="O250" s="82"/>
      <c r="P250" s="82"/>
      <c r="Q250" s="68"/>
      <c r="R250" s="68"/>
      <c r="T250" s="80" t="s">
        <v>338</v>
      </c>
      <c r="U250" s="327">
        <f>U248+U249</f>
        <v>1987693.794</v>
      </c>
      <c r="V250" s="68"/>
      <c r="W250" s="68"/>
      <c r="X250" s="68"/>
      <c r="Z250" s="71" t="s">
        <v>339</v>
      </c>
      <c r="AA250" s="333">
        <f>'WAP for Y-AXIS Walls'!$I$67</f>
        <v>1153.719725</v>
      </c>
      <c r="AB250" s="26" t="s">
        <v>340</v>
      </c>
      <c r="AC250" s="333">
        <f>'WAP for Y-AXIS Walls'!I239</f>
        <v>236.7617472</v>
      </c>
    </row>
    <row r="251">
      <c r="L251" s="82"/>
      <c r="M251" s="82"/>
      <c r="N251" s="68"/>
      <c r="O251" s="68"/>
      <c r="P251" s="68"/>
      <c r="Q251" s="68"/>
      <c r="R251" s="68"/>
      <c r="S251" s="68"/>
      <c r="T251" s="68"/>
      <c r="U251" s="68"/>
      <c r="V251" s="68"/>
      <c r="W251" s="68"/>
      <c r="X251" s="68"/>
      <c r="Z251" s="26" t="s">
        <v>497</v>
      </c>
      <c r="AA251" s="337">
        <f>0.82/2.82</f>
        <v>0.2907801418</v>
      </c>
      <c r="AB251" s="26" t="s">
        <v>157</v>
      </c>
      <c r="AC251" s="390">
        <f>AC249/AC250</f>
        <v>0.1062710054</v>
      </c>
    </row>
    <row r="252">
      <c r="L252" s="68"/>
      <c r="M252" s="68"/>
      <c r="N252" s="68"/>
      <c r="O252" s="68"/>
      <c r="P252" s="68"/>
      <c r="Q252" s="68"/>
      <c r="R252" s="68"/>
      <c r="S252" s="68"/>
      <c r="T252" s="68"/>
      <c r="U252" s="68"/>
      <c r="V252" s="68"/>
      <c r="W252" s="68"/>
      <c r="X252" s="68"/>
      <c r="AA252" s="333">
        <f>AA250*AA251</f>
        <v>335.4787854</v>
      </c>
      <c r="AB252" s="26" t="s">
        <v>341</v>
      </c>
      <c r="AC252" s="26">
        <v>1.0</v>
      </c>
    </row>
    <row r="253">
      <c r="B253" s="363" t="s">
        <v>342</v>
      </c>
      <c r="C253" s="364"/>
      <c r="D253" s="364"/>
      <c r="E253" s="364"/>
      <c r="F253" s="364"/>
      <c r="G253" s="68"/>
      <c r="H253" s="68"/>
      <c r="I253" s="68"/>
      <c r="J253" s="68"/>
      <c r="K253" s="328"/>
      <c r="L253" s="68"/>
      <c r="M253" s="68"/>
      <c r="N253" s="68"/>
      <c r="O253" s="68"/>
      <c r="P253" s="68"/>
      <c r="Q253" s="68"/>
      <c r="R253" s="68"/>
      <c r="S253" s="68"/>
      <c r="T253" s="68"/>
      <c r="U253" s="68"/>
      <c r="V253" s="68"/>
      <c r="W253" s="68"/>
      <c r="X253" s="68"/>
      <c r="Z253" s="26" t="s">
        <v>498</v>
      </c>
    </row>
    <row r="254">
      <c r="B254" s="365"/>
      <c r="C254" s="366"/>
      <c r="D254" s="364"/>
      <c r="E254" s="364"/>
      <c r="F254" s="364"/>
      <c r="G254" s="367"/>
      <c r="H254" s="68"/>
      <c r="I254" s="68"/>
      <c r="J254" s="68"/>
      <c r="K254" s="68"/>
      <c r="N254" s="68"/>
      <c r="O254" s="68"/>
      <c r="P254" s="68"/>
      <c r="Q254" s="68"/>
      <c r="R254" s="68"/>
      <c r="S254" s="68"/>
      <c r="T254" s="68"/>
      <c r="U254" s="68"/>
      <c r="V254" s="68"/>
      <c r="W254" s="68"/>
      <c r="X254" s="68"/>
    </row>
    <row r="255">
      <c r="B255" s="68"/>
      <c r="N255" s="68"/>
      <c r="O255" s="68"/>
      <c r="P255" s="68"/>
      <c r="Q255" s="68"/>
      <c r="R255" s="68"/>
      <c r="S255" s="68"/>
      <c r="T255" s="68"/>
      <c r="U255" s="68"/>
      <c r="V255" s="68"/>
      <c r="W255" s="68"/>
      <c r="X255" s="68"/>
    </row>
    <row r="256">
      <c r="B256" s="328"/>
      <c r="C256" s="68"/>
      <c r="D256" s="68"/>
      <c r="E256" s="70"/>
      <c r="F256" s="70"/>
      <c r="G256" s="328"/>
      <c r="H256" s="80"/>
      <c r="I256" s="71"/>
      <c r="J256" s="68"/>
      <c r="K256" s="68"/>
      <c r="N256" s="68"/>
      <c r="O256" s="68"/>
      <c r="P256" s="68"/>
      <c r="Q256" s="68"/>
      <c r="R256" s="68"/>
      <c r="S256" s="68"/>
      <c r="T256" s="68"/>
      <c r="U256" s="68"/>
      <c r="V256" s="68"/>
      <c r="W256" s="68"/>
      <c r="X256" s="68"/>
    </row>
    <row r="257">
      <c r="B257" s="328"/>
      <c r="C257" s="82"/>
      <c r="D257" s="68"/>
      <c r="E257" s="70"/>
      <c r="F257" s="70" t="s">
        <v>523</v>
      </c>
      <c r="G257" s="328">
        <f>S248/R248</f>
        <v>6.660723869</v>
      </c>
      <c r="H257" s="80" t="s">
        <v>344</v>
      </c>
      <c r="I257" s="68"/>
      <c r="J257" s="71" t="s">
        <v>500</v>
      </c>
      <c r="K257" s="68"/>
      <c r="N257" s="68"/>
      <c r="O257" s="68"/>
      <c r="P257" s="68"/>
      <c r="Q257" s="68"/>
      <c r="R257" s="68"/>
      <c r="S257" s="68"/>
      <c r="T257" s="68"/>
      <c r="U257" s="68"/>
      <c r="V257" s="68"/>
      <c r="W257" s="68"/>
      <c r="X257" s="68"/>
    </row>
    <row r="258">
      <c r="B258" s="328"/>
      <c r="C258" s="82"/>
      <c r="D258" s="68"/>
      <c r="E258" s="70"/>
      <c r="F258" s="70" t="s">
        <v>345</v>
      </c>
      <c r="G258" s="328">
        <f>'WAP for Y-AXIS Walls'!I239/R248*1000</f>
        <v>4.671298122</v>
      </c>
      <c r="H258" s="43" t="s">
        <v>346</v>
      </c>
      <c r="I258" s="71" t="s">
        <v>347</v>
      </c>
      <c r="J258" s="68"/>
      <c r="K258" s="68"/>
      <c r="N258" s="68"/>
      <c r="O258" s="68"/>
      <c r="P258" s="68"/>
      <c r="Q258" s="68"/>
      <c r="R258" s="68"/>
      <c r="S258" s="68"/>
      <c r="T258" s="68"/>
      <c r="U258" s="68"/>
      <c r="V258" s="68"/>
      <c r="W258" s="68"/>
      <c r="X258" s="68"/>
    </row>
    <row r="259">
      <c r="B259" s="328"/>
      <c r="C259" s="82"/>
      <c r="D259" s="68"/>
      <c r="E259" s="70"/>
      <c r="F259" s="70" t="s">
        <v>348</v>
      </c>
      <c r="G259" s="328">
        <f>C249</f>
        <v>7.2</v>
      </c>
      <c r="H259" s="43" t="s">
        <v>84</v>
      </c>
      <c r="I259" s="68"/>
      <c r="J259" s="68"/>
      <c r="K259" s="68"/>
      <c r="N259" s="68"/>
      <c r="O259" s="68"/>
      <c r="P259" s="68"/>
      <c r="Q259" s="68"/>
      <c r="R259" s="68"/>
      <c r="S259" s="68"/>
      <c r="T259" s="68"/>
      <c r="U259" s="68"/>
      <c r="V259" s="68"/>
      <c r="W259" s="68"/>
      <c r="X259" s="68"/>
    </row>
    <row r="260">
      <c r="B260" s="328"/>
      <c r="C260" s="82"/>
      <c r="D260" s="68"/>
      <c r="E260" s="70"/>
      <c r="F260" s="70" t="s">
        <v>349</v>
      </c>
      <c r="G260" s="328">
        <f>G259-G257</f>
        <v>0.539276131</v>
      </c>
      <c r="H260" s="80" t="s">
        <v>344</v>
      </c>
      <c r="I260" s="71" t="s">
        <v>350</v>
      </c>
      <c r="J260" s="68"/>
      <c r="K260" s="68"/>
      <c r="N260" s="68"/>
      <c r="O260" s="68"/>
      <c r="P260" s="68"/>
      <c r="Q260" s="68"/>
      <c r="R260" s="68"/>
      <c r="S260" s="68"/>
      <c r="T260" s="68"/>
      <c r="U260" s="68"/>
      <c r="V260" s="68"/>
      <c r="W260" s="68"/>
      <c r="X260" s="68"/>
    </row>
    <row r="261">
      <c r="B261" s="328"/>
      <c r="C261" s="82"/>
      <c r="D261" s="68"/>
      <c r="E261" s="71"/>
      <c r="F261" s="77" t="s">
        <v>351</v>
      </c>
      <c r="G261" s="97">
        <f>D224</f>
        <v>14.6</v>
      </c>
      <c r="H261" s="71" t="s">
        <v>84</v>
      </c>
      <c r="I261" s="68"/>
      <c r="J261" s="68"/>
      <c r="K261" s="68"/>
      <c r="L261" s="68"/>
      <c r="M261" s="68"/>
      <c r="N261" s="68"/>
      <c r="O261" s="68"/>
      <c r="P261" s="68"/>
      <c r="Q261" s="68"/>
      <c r="R261" s="68"/>
      <c r="S261" s="68"/>
      <c r="T261" s="68"/>
      <c r="U261" s="68"/>
      <c r="V261" s="68"/>
      <c r="W261" s="68"/>
      <c r="X261" s="68"/>
    </row>
    <row r="262">
      <c r="C262" s="82"/>
      <c r="D262" s="68"/>
      <c r="E262" s="70"/>
      <c r="F262" s="70" t="s">
        <v>352</v>
      </c>
      <c r="G262" s="368">
        <f>G260/G261</f>
        <v>0.0369367213</v>
      </c>
      <c r="H262" s="71" t="s">
        <v>353</v>
      </c>
      <c r="I262" s="71" t="s">
        <v>354</v>
      </c>
      <c r="J262" s="68"/>
      <c r="K262" s="68"/>
      <c r="L262" s="68"/>
      <c r="M262" s="68"/>
      <c r="N262" s="68"/>
      <c r="O262" s="68"/>
      <c r="P262" s="68"/>
      <c r="Q262" s="68"/>
      <c r="R262" s="68"/>
      <c r="S262" s="68"/>
      <c r="T262" s="68"/>
      <c r="U262" s="68"/>
      <c r="V262" s="68"/>
      <c r="W262" s="68"/>
      <c r="X262" s="68"/>
    </row>
    <row r="263" ht="30.75" customHeight="1">
      <c r="K263" s="68"/>
      <c r="L263" s="68"/>
      <c r="M263" s="68"/>
      <c r="N263" s="68"/>
      <c r="O263" s="68"/>
      <c r="P263" s="68"/>
      <c r="Q263" s="68"/>
      <c r="R263" s="68"/>
      <c r="S263" s="68"/>
      <c r="T263" s="68"/>
      <c r="U263" s="68"/>
      <c r="V263" s="68"/>
      <c r="W263" s="68"/>
      <c r="X263" s="68"/>
    </row>
    <row r="264" ht="30.0" customHeight="1">
      <c r="J264" s="68"/>
      <c r="K264" s="68"/>
      <c r="L264" s="68"/>
      <c r="M264" s="68"/>
      <c r="N264" s="68"/>
      <c r="O264" s="68"/>
      <c r="P264" s="68"/>
      <c r="Q264" s="68"/>
      <c r="R264" s="68"/>
      <c r="S264" s="68"/>
      <c r="T264" s="68"/>
      <c r="U264" s="68"/>
      <c r="V264" s="68"/>
      <c r="W264" s="68"/>
      <c r="X264" s="68"/>
    </row>
    <row r="265" ht="25.5" customHeight="1">
      <c r="J265" s="68"/>
      <c r="K265" s="68"/>
      <c r="L265" s="68"/>
      <c r="M265" s="68"/>
      <c r="N265" s="68"/>
      <c r="O265" s="68"/>
      <c r="P265" s="68"/>
      <c r="Q265" s="68"/>
      <c r="R265" s="68"/>
      <c r="S265" s="68"/>
      <c r="T265" s="68"/>
      <c r="U265" s="68"/>
      <c r="V265" s="68"/>
      <c r="W265" s="68"/>
      <c r="X265" s="68"/>
    </row>
    <row r="266" ht="32.25" customHeight="1">
      <c r="J266" s="68"/>
      <c r="K266" s="68"/>
      <c r="L266" s="68"/>
      <c r="M266" s="68"/>
      <c r="N266" s="68"/>
      <c r="O266" s="68"/>
      <c r="P266" s="68"/>
      <c r="Q266" s="68"/>
      <c r="R266" s="68"/>
      <c r="S266" s="68"/>
      <c r="T266" s="68"/>
      <c r="U266" s="68"/>
      <c r="V266" s="68"/>
      <c r="W266" s="68"/>
      <c r="X266" s="68"/>
    </row>
    <row r="267">
      <c r="J267" s="68"/>
      <c r="K267" s="68"/>
      <c r="L267" s="68"/>
      <c r="M267" s="68"/>
      <c r="N267" s="68"/>
      <c r="O267" s="68"/>
      <c r="P267" s="68"/>
      <c r="Q267" s="68"/>
      <c r="R267" s="68"/>
      <c r="S267" s="68"/>
      <c r="T267" s="68"/>
      <c r="U267" s="68"/>
      <c r="V267" s="68"/>
      <c r="W267" s="68"/>
      <c r="X267" s="68"/>
    </row>
    <row r="268">
      <c r="A268" s="47"/>
      <c r="B268" s="43"/>
      <c r="C268" s="44"/>
      <c r="D268" s="43"/>
      <c r="E268" s="43"/>
      <c r="F268" s="43"/>
      <c r="G268" s="43"/>
      <c r="H268" s="68"/>
      <c r="I268" s="68"/>
      <c r="J268" s="68"/>
      <c r="K268" s="68"/>
      <c r="L268" s="68"/>
      <c r="M268" s="68"/>
      <c r="N268" s="68"/>
      <c r="O268" s="45"/>
      <c r="P268" s="43"/>
      <c r="Q268" s="43"/>
      <c r="R268" s="43"/>
      <c r="S268" s="68"/>
      <c r="T268" s="68"/>
      <c r="U268" s="68"/>
      <c r="V268" s="68"/>
      <c r="W268" s="68"/>
      <c r="X268" s="68"/>
    </row>
    <row r="269">
      <c r="A269" s="47"/>
      <c r="B269" s="49" t="s">
        <v>75</v>
      </c>
      <c r="C269" s="50"/>
      <c r="D269" s="51"/>
      <c r="E269" s="51"/>
      <c r="F269" s="51"/>
      <c r="G269" s="51"/>
      <c r="H269" s="51"/>
      <c r="I269" s="51"/>
      <c r="J269" s="51"/>
      <c r="K269" s="51"/>
      <c r="L269" s="51"/>
      <c r="M269" s="51"/>
      <c r="N269" s="52" t="s">
        <v>76</v>
      </c>
      <c r="O269" s="52"/>
      <c r="P269" s="51"/>
      <c r="Q269" s="51"/>
      <c r="R269" s="51"/>
      <c r="S269" s="68"/>
      <c r="T269" s="68"/>
      <c r="U269" s="68"/>
      <c r="V269" s="68"/>
      <c r="W269" s="68"/>
      <c r="X269" s="68"/>
    </row>
    <row r="270">
      <c r="A270" s="47"/>
      <c r="B270" s="49" t="s">
        <v>77</v>
      </c>
      <c r="C270" s="55" t="s">
        <v>78</v>
      </c>
      <c r="D270" s="56"/>
      <c r="E270" s="51"/>
      <c r="F270" s="51"/>
      <c r="G270" s="51"/>
      <c r="H270" s="51"/>
      <c r="I270" s="51"/>
      <c r="J270" s="51"/>
      <c r="K270" s="51"/>
      <c r="L270" s="51"/>
      <c r="M270" s="51"/>
      <c r="N270" s="57" t="s">
        <v>79</v>
      </c>
      <c r="O270" s="57"/>
      <c r="P270" s="51"/>
      <c r="Q270" s="51"/>
      <c r="R270" s="51"/>
      <c r="S270" s="68"/>
      <c r="T270" s="68"/>
      <c r="U270" s="68"/>
      <c r="V270" s="68"/>
      <c r="W270" s="68"/>
      <c r="X270" s="68"/>
    </row>
    <row r="271">
      <c r="A271" s="47"/>
      <c r="B271" s="51"/>
      <c r="C271" s="52"/>
      <c r="D271" s="56"/>
      <c r="E271" s="51"/>
      <c r="F271" s="51"/>
      <c r="G271" s="51"/>
      <c r="H271" s="51"/>
      <c r="I271" s="51"/>
      <c r="J271" s="51"/>
      <c r="K271" s="51"/>
      <c r="L271" s="51"/>
      <c r="M271" s="51"/>
      <c r="N271" s="57" t="s">
        <v>80</v>
      </c>
      <c r="O271" s="57"/>
      <c r="P271" s="51"/>
      <c r="Q271" s="51"/>
      <c r="R271" s="51"/>
      <c r="S271" s="68"/>
      <c r="T271" s="68"/>
      <c r="U271" s="68"/>
      <c r="V271" s="68"/>
      <c r="W271" s="68"/>
      <c r="X271" s="68"/>
    </row>
    <row r="272">
      <c r="A272" s="33"/>
      <c r="B272" s="43"/>
      <c r="C272" s="45"/>
      <c r="D272" s="43"/>
      <c r="E272" s="43"/>
      <c r="F272" s="43"/>
      <c r="G272" s="43"/>
      <c r="H272" s="43"/>
      <c r="I272" s="43"/>
      <c r="J272" s="43"/>
      <c r="K272" s="43"/>
      <c r="L272" s="43"/>
      <c r="M272" s="43"/>
      <c r="N272" s="43"/>
      <c r="O272" s="43"/>
      <c r="P272" s="43"/>
      <c r="Q272" s="43"/>
      <c r="R272" s="43"/>
      <c r="S272" s="68"/>
      <c r="T272" s="68"/>
      <c r="U272" s="68"/>
      <c r="V272" s="68"/>
      <c r="W272" s="68"/>
      <c r="X272" s="68"/>
    </row>
    <row r="273">
      <c r="B273" s="68"/>
      <c r="C273" s="68"/>
      <c r="D273" s="68"/>
      <c r="E273" s="68"/>
      <c r="F273" s="68"/>
      <c r="G273" s="68"/>
      <c r="H273" s="68"/>
      <c r="I273" s="68"/>
      <c r="J273" s="68"/>
      <c r="K273" s="68"/>
      <c r="L273" s="68"/>
      <c r="M273" s="68"/>
      <c r="N273" s="68"/>
      <c r="O273" s="68"/>
      <c r="P273" s="68"/>
      <c r="Q273" s="68"/>
      <c r="R273" s="68"/>
      <c r="S273" s="68"/>
      <c r="T273" s="68"/>
      <c r="U273" s="68"/>
      <c r="V273" s="68"/>
      <c r="W273" s="68"/>
      <c r="X273" s="68"/>
    </row>
    <row r="274">
      <c r="B274" s="68"/>
      <c r="C274" s="68"/>
      <c r="D274" s="68"/>
      <c r="E274" s="68"/>
      <c r="F274" s="68"/>
      <c r="G274" s="68"/>
      <c r="H274" s="68"/>
      <c r="I274" s="68"/>
      <c r="J274" s="68"/>
      <c r="K274" s="68"/>
      <c r="L274" s="68"/>
      <c r="M274" s="68"/>
      <c r="N274" s="68"/>
      <c r="O274" s="68"/>
      <c r="P274" s="68"/>
      <c r="Q274" s="68"/>
      <c r="R274" s="68"/>
      <c r="S274" s="68"/>
      <c r="T274" s="68"/>
      <c r="U274" s="68"/>
      <c r="V274" s="68"/>
      <c r="W274" s="68"/>
      <c r="X274" s="68"/>
    </row>
    <row r="275">
      <c r="B275" s="114" t="s">
        <v>355</v>
      </c>
      <c r="C275" s="68"/>
      <c r="D275" s="369"/>
      <c r="E275" s="68"/>
      <c r="F275" s="68"/>
      <c r="G275" s="68"/>
      <c r="H275" s="68"/>
      <c r="I275" s="68"/>
      <c r="J275" s="114" t="s">
        <v>356</v>
      </c>
      <c r="K275" s="68"/>
      <c r="L275" s="68"/>
      <c r="M275" s="68"/>
      <c r="N275" s="68"/>
      <c r="O275" s="68"/>
      <c r="P275" s="68"/>
      <c r="Q275" s="68"/>
      <c r="R275" s="68"/>
      <c r="S275" s="68"/>
      <c r="T275" s="68"/>
      <c r="U275" s="68"/>
      <c r="V275" s="68"/>
      <c r="W275" s="68"/>
      <c r="X275" s="68"/>
    </row>
    <row r="276">
      <c r="B276" s="114" t="s">
        <v>357</v>
      </c>
      <c r="C276" s="68"/>
      <c r="D276" s="369"/>
      <c r="E276" s="68"/>
      <c r="F276" s="68"/>
      <c r="G276" s="68"/>
      <c r="H276" s="68"/>
      <c r="I276" s="68"/>
      <c r="J276" s="114" t="s">
        <v>357</v>
      </c>
      <c r="K276" s="68"/>
      <c r="L276" s="68"/>
      <c r="M276" s="68"/>
      <c r="N276" s="68"/>
      <c r="O276" s="68"/>
      <c r="P276" s="68"/>
      <c r="Q276" s="114" t="s">
        <v>358</v>
      </c>
      <c r="R276" s="68"/>
      <c r="S276" s="68"/>
      <c r="T276" s="68"/>
      <c r="U276" s="68"/>
      <c r="V276" s="68"/>
      <c r="W276" s="68"/>
      <c r="X276" s="68"/>
    </row>
    <row r="277">
      <c r="B277" s="114" t="s">
        <v>359</v>
      </c>
      <c r="C277" s="68"/>
      <c r="D277" s="68"/>
      <c r="E277" s="68"/>
      <c r="F277" s="68"/>
      <c r="G277" s="68"/>
      <c r="H277" s="68"/>
      <c r="I277" s="68"/>
      <c r="J277" s="114" t="s">
        <v>359</v>
      </c>
      <c r="K277" s="68"/>
      <c r="L277" s="68"/>
      <c r="M277" s="68"/>
      <c r="N277" s="68"/>
      <c r="O277" s="68"/>
      <c r="P277" s="68"/>
      <c r="Q277" s="114" t="s">
        <v>360</v>
      </c>
      <c r="R277" s="68"/>
      <c r="S277" s="68"/>
      <c r="T277" s="68"/>
      <c r="U277" s="68"/>
      <c r="V277" s="68"/>
      <c r="W277" s="68"/>
      <c r="X277" s="68"/>
    </row>
    <row r="278">
      <c r="B278" s="370" t="s">
        <v>361</v>
      </c>
      <c r="C278" s="100" t="s">
        <v>362</v>
      </c>
      <c r="D278" s="101" t="s">
        <v>363</v>
      </c>
      <c r="E278" s="303" t="s">
        <v>364</v>
      </c>
      <c r="F278" s="303" t="s">
        <v>114</v>
      </c>
      <c r="G278" s="303" t="s">
        <v>114</v>
      </c>
      <c r="H278" s="101" t="s">
        <v>365</v>
      </c>
      <c r="I278" s="371"/>
      <c r="J278" s="100" t="s">
        <v>362</v>
      </c>
      <c r="K278" s="101" t="s">
        <v>363</v>
      </c>
      <c r="L278" s="303" t="s">
        <v>364</v>
      </c>
      <c r="M278" s="303" t="s">
        <v>114</v>
      </c>
      <c r="N278" s="303" t="s">
        <v>114</v>
      </c>
      <c r="O278" s="101" t="s">
        <v>365</v>
      </c>
      <c r="P278" s="371"/>
      <c r="Q278" s="100" t="s">
        <v>366</v>
      </c>
      <c r="R278" s="101" t="s">
        <v>367</v>
      </c>
      <c r="S278" s="101" t="s">
        <v>368</v>
      </c>
      <c r="T278" s="303" t="s">
        <v>114</v>
      </c>
      <c r="U278" s="303" t="s">
        <v>369</v>
      </c>
      <c r="V278" s="101" t="s">
        <v>365</v>
      </c>
      <c r="W278" s="371"/>
      <c r="X278" s="110"/>
      <c r="Y278" s="26" t="s">
        <v>370</v>
      </c>
      <c r="Z278" s="26" t="s">
        <v>371</v>
      </c>
      <c r="AA278" s="26" t="s">
        <v>372</v>
      </c>
      <c r="AB278" s="26" t="s">
        <v>372</v>
      </c>
      <c r="AC278" s="26" t="s">
        <v>372</v>
      </c>
      <c r="AD278" s="26" t="s">
        <v>372</v>
      </c>
      <c r="AE278" s="26" t="s">
        <v>373</v>
      </c>
      <c r="AF278" s="26" t="s">
        <v>372</v>
      </c>
      <c r="AG278" s="26" t="s">
        <v>374</v>
      </c>
      <c r="AH278" s="26" t="s">
        <v>374</v>
      </c>
      <c r="AI278" s="26" t="s">
        <v>375</v>
      </c>
      <c r="AJ278" s="26" t="s">
        <v>376</v>
      </c>
      <c r="AK278" s="26" t="s">
        <v>375</v>
      </c>
      <c r="AL278" s="26" t="s">
        <v>376</v>
      </c>
      <c r="AM278" s="26" t="s">
        <v>377</v>
      </c>
    </row>
    <row r="279">
      <c r="B279" s="372" t="s">
        <v>378</v>
      </c>
      <c r="C279" s="306" t="s">
        <v>379</v>
      </c>
      <c r="D279" s="111" t="s">
        <v>379</v>
      </c>
      <c r="E279" s="111" t="s">
        <v>380</v>
      </c>
      <c r="F279" s="110" t="s">
        <v>381</v>
      </c>
      <c r="G279" s="111" t="s">
        <v>361</v>
      </c>
      <c r="H279" s="111" t="s">
        <v>114</v>
      </c>
      <c r="I279" s="112" t="s">
        <v>382</v>
      </c>
      <c r="J279" s="306" t="s">
        <v>379</v>
      </c>
      <c r="K279" s="111" t="s">
        <v>379</v>
      </c>
      <c r="L279" s="111" t="s">
        <v>380</v>
      </c>
      <c r="M279" s="110" t="s">
        <v>381</v>
      </c>
      <c r="N279" s="111" t="s">
        <v>361</v>
      </c>
      <c r="O279" s="111" t="s">
        <v>114</v>
      </c>
      <c r="P279" s="112" t="s">
        <v>382</v>
      </c>
      <c r="Q279" s="306" t="s">
        <v>298</v>
      </c>
      <c r="R279" s="115" t="s">
        <v>383</v>
      </c>
      <c r="S279" s="111" t="s">
        <v>384</v>
      </c>
      <c r="T279" s="111" t="s">
        <v>385</v>
      </c>
      <c r="U279" s="111" t="s">
        <v>386</v>
      </c>
      <c r="V279" s="111" t="s">
        <v>114</v>
      </c>
      <c r="W279" s="112" t="s">
        <v>382</v>
      </c>
      <c r="X279" s="110"/>
      <c r="Y279" s="26" t="s">
        <v>387</v>
      </c>
      <c r="Z279" s="26" t="s">
        <v>388</v>
      </c>
      <c r="AB279" s="26" t="s">
        <v>389</v>
      </c>
      <c r="AC279" s="26" t="s">
        <v>390</v>
      </c>
      <c r="AD279" s="26" t="s">
        <v>391</v>
      </c>
      <c r="AE279" s="26" t="s">
        <v>392</v>
      </c>
      <c r="AF279" s="26" t="s">
        <v>393</v>
      </c>
      <c r="AG279" s="26" t="s">
        <v>394</v>
      </c>
      <c r="AH279" s="26" t="s">
        <v>395</v>
      </c>
      <c r="AI279" s="26" t="s">
        <v>374</v>
      </c>
      <c r="AJ279" s="26" t="s">
        <v>396</v>
      </c>
      <c r="AM279" s="26" t="s">
        <v>397</v>
      </c>
      <c r="AN279" s="26" t="s">
        <v>398</v>
      </c>
    </row>
    <row r="280">
      <c r="B280" s="372" t="s">
        <v>399</v>
      </c>
      <c r="C280" s="306" t="s">
        <v>400</v>
      </c>
      <c r="D280" s="111" t="s">
        <v>401</v>
      </c>
      <c r="E280" s="115" t="s">
        <v>402</v>
      </c>
      <c r="F280" s="111" t="s">
        <v>403</v>
      </c>
      <c r="G280" s="111" t="s">
        <v>404</v>
      </c>
      <c r="H280" s="110" t="s">
        <v>405</v>
      </c>
      <c r="I280" s="373"/>
      <c r="J280" s="306" t="s">
        <v>400</v>
      </c>
      <c r="K280" s="111" t="s">
        <v>401</v>
      </c>
      <c r="L280" s="115" t="s">
        <v>402</v>
      </c>
      <c r="M280" s="111" t="s">
        <v>403</v>
      </c>
      <c r="N280" s="111" t="s">
        <v>404</v>
      </c>
      <c r="O280" s="110" t="s">
        <v>405</v>
      </c>
      <c r="P280" s="373"/>
      <c r="Q280" s="306" t="s">
        <v>406</v>
      </c>
      <c r="R280" s="111" t="s">
        <v>407</v>
      </c>
      <c r="S280" s="111" t="s">
        <v>408</v>
      </c>
      <c r="T280" s="111" t="s">
        <v>403</v>
      </c>
      <c r="U280" s="111" t="s">
        <v>404</v>
      </c>
      <c r="V280" s="110" t="s">
        <v>405</v>
      </c>
      <c r="W280" s="373"/>
      <c r="X280" s="110"/>
      <c r="Y280" s="26" t="s">
        <v>409</v>
      </c>
      <c r="Z280" s="26" t="s">
        <v>410</v>
      </c>
      <c r="AD280" s="26" t="s">
        <v>411</v>
      </c>
      <c r="AE280" s="374">
        <f>AE283*AE281</f>
        <v>60915.96</v>
      </c>
      <c r="AF280" s="26" t="s">
        <v>412</v>
      </c>
      <c r="AG280" s="26" t="s">
        <v>413</v>
      </c>
      <c r="AH280" s="26" t="s">
        <v>414</v>
      </c>
      <c r="AI280" s="26" t="s">
        <v>415</v>
      </c>
      <c r="AJ280" s="26" t="s">
        <v>416</v>
      </c>
      <c r="AM280" s="26" t="s">
        <v>417</v>
      </c>
      <c r="AN280" s="26" t="s">
        <v>418</v>
      </c>
    </row>
    <row r="281">
      <c r="B281" s="372" t="s">
        <v>419</v>
      </c>
      <c r="C281" s="306" t="s">
        <v>346</v>
      </c>
      <c r="D281" s="111" t="s">
        <v>346</v>
      </c>
      <c r="E281" s="111" t="s">
        <v>420</v>
      </c>
      <c r="F281" s="375">
        <f>if('WAP for Y-AXIS Walls'!I245/'WAP for Y-AXIS Walls'!I244&lt;1,1,'WAP for Y-AXIS Walls'!I245/'WAP for Y-AXIS Walls'!I244)</f>
        <v>1</v>
      </c>
      <c r="G281" s="118"/>
      <c r="H281" s="118"/>
      <c r="I281" s="309"/>
      <c r="J281" s="306" t="s">
        <v>346</v>
      </c>
      <c r="K281" s="111" t="s">
        <v>346</v>
      </c>
      <c r="L281" s="111" t="s">
        <v>420</v>
      </c>
      <c r="M281" s="375">
        <f>if('WAP for Y-AXIS Walls'!I245/'WAP for Y-AXIS Walls'!I244&lt;1,1,'WAP for Y-AXIS Walls'!I245/'WAP for Y-AXIS Walls'!I244)</f>
        <v>1</v>
      </c>
      <c r="N281" s="118"/>
      <c r="O281" s="118"/>
      <c r="P281" s="309"/>
      <c r="Q281" s="113" t="s">
        <v>524</v>
      </c>
      <c r="R281" s="115" t="s">
        <v>422</v>
      </c>
      <c r="S281" s="115" t="s">
        <v>423</v>
      </c>
      <c r="T281" s="375">
        <f>if('WAP for Y-AXIS Walls'!I245/'WAP for Y-AXIS Walls'!I244&lt;1,1,'WAP for Y-AXIS Walls'!I245/'WAP for Y-AXIS Walls'!I244)</f>
        <v>1</v>
      </c>
      <c r="U281" s="118"/>
      <c r="V281" s="118"/>
      <c r="W281" s="309"/>
      <c r="X281" s="118"/>
      <c r="Y281" s="26" t="s">
        <v>424</v>
      </c>
      <c r="Z281" s="26" t="s">
        <v>425</v>
      </c>
      <c r="AD281" s="26" t="s">
        <v>426</v>
      </c>
      <c r="AE281" s="26">
        <v>145.038</v>
      </c>
      <c r="AF281" s="26" t="s">
        <v>427</v>
      </c>
      <c r="AG281" s="26" t="s">
        <v>428</v>
      </c>
      <c r="AI281" s="26" t="s">
        <v>414</v>
      </c>
      <c r="AJ281" s="26" t="s">
        <v>429</v>
      </c>
      <c r="AM281" s="26" t="s">
        <v>430</v>
      </c>
      <c r="AN281" s="26" t="s">
        <v>525</v>
      </c>
    </row>
    <row r="282">
      <c r="B282" s="376" t="s">
        <v>432</v>
      </c>
      <c r="C282" s="377" t="s">
        <v>526</v>
      </c>
      <c r="D282" s="378" t="s">
        <v>434</v>
      </c>
      <c r="E282" s="380" t="s">
        <v>435</v>
      </c>
      <c r="F282" s="379" t="s">
        <v>436</v>
      </c>
      <c r="G282" s="378" t="s">
        <v>527</v>
      </c>
      <c r="H282" s="380" t="s">
        <v>438</v>
      </c>
      <c r="I282" s="122"/>
      <c r="J282" s="377" t="s">
        <v>528</v>
      </c>
      <c r="K282" s="378" t="s">
        <v>434</v>
      </c>
      <c r="L282" s="380" t="s">
        <v>435</v>
      </c>
      <c r="M282" s="379" t="s">
        <v>436</v>
      </c>
      <c r="N282" s="378" t="s">
        <v>529</v>
      </c>
      <c r="O282" s="380" t="s">
        <v>438</v>
      </c>
      <c r="P282" s="120"/>
      <c r="Q282" s="377" t="s">
        <v>530</v>
      </c>
      <c r="R282" s="381" t="s">
        <v>531</v>
      </c>
      <c r="S282" s="380" t="s">
        <v>532</v>
      </c>
      <c r="T282" s="380" t="s">
        <v>509</v>
      </c>
      <c r="U282" s="379" t="s">
        <v>533</v>
      </c>
      <c r="V282" s="380" t="s">
        <v>534</v>
      </c>
      <c r="W282" s="122"/>
      <c r="X282" s="118"/>
      <c r="Y282" s="26" t="s">
        <v>199</v>
      </c>
      <c r="Z282" s="26" t="s">
        <v>199</v>
      </c>
      <c r="AB282" s="26" t="s">
        <v>447</v>
      </c>
      <c r="AC282" s="26" t="s">
        <v>186</v>
      </c>
      <c r="AD282" s="26" t="s">
        <v>84</v>
      </c>
      <c r="AE282" s="26" t="s">
        <v>186</v>
      </c>
      <c r="AF282" s="26" t="s">
        <v>199</v>
      </c>
      <c r="AG282" s="26" t="s">
        <v>199</v>
      </c>
      <c r="AH282" s="26" t="s">
        <v>183</v>
      </c>
      <c r="AI282" s="26" t="s">
        <v>199</v>
      </c>
      <c r="AJ282" s="26" t="s">
        <v>199</v>
      </c>
      <c r="AK282" s="26" t="s">
        <v>405</v>
      </c>
      <c r="AL282" s="26" t="s">
        <v>405</v>
      </c>
    </row>
    <row r="283">
      <c r="B283" s="382">
        <f>'WAP for Y-AXIS Walls'!$I$234*'WAP for Y-AXIS Walls'!$I$227*'WAP for Y-AXIS Walls'!$I$228</f>
        <v>523.2648397</v>
      </c>
      <c r="C283" s="383">
        <f t="shared" ref="C283:C284" si="164">T235*$G$317*1000</f>
        <v>-1.614709809</v>
      </c>
      <c r="D283" s="328">
        <f t="shared" ref="D283:D284" si="165">C283+$G$258</f>
        <v>3.056588314</v>
      </c>
      <c r="E283" s="384">
        <f t="shared" ref="E283:E284" si="166">D283/G235/1000</f>
        <v>0.00105399597</v>
      </c>
      <c r="F283" s="385">
        <f t="shared" ref="F283:F284" si="167">R235*D283/1000*$F$281</f>
        <v>12.20317418</v>
      </c>
      <c r="G283" s="385">
        <f>IF('WAP for Y-AXIS Walls'!L196=0,0,F283/('WAP for Y-AXIS Walls'!L196*'WAP for Y-AXIS Walls'!$I$229))</f>
        <v>142.8775808</v>
      </c>
      <c r="H283" s="324">
        <f t="shared" ref="H283:H284" si="168">G283/B283</f>
        <v>0.2730502224</v>
      </c>
      <c r="I283" s="386" t="str">
        <f t="shared" ref="I283:I284" si="169">if(H283&lt;=1,"OK","NG")</f>
        <v>OK</v>
      </c>
      <c r="J283" s="328">
        <f t="shared" ref="J283:J284" si="170">T235*$R$317*1000</f>
        <v>0.2294339405</v>
      </c>
      <c r="K283" s="328">
        <f t="shared" ref="K283:K284" si="171">J283+$G$258</f>
        <v>4.900732063</v>
      </c>
      <c r="L283" s="384">
        <f t="shared" ref="L283:L284" si="172">K283/G235/1000</f>
        <v>0.001689907608</v>
      </c>
      <c r="M283" s="385">
        <f t="shared" ref="M283:M284" si="173">R235*K283/1000*$M$281</f>
        <v>19.56576445</v>
      </c>
      <c r="N283" s="385">
        <f>IF('WAP for Y-AXIS Walls'!L196=0,0,M283/('WAP for Y-AXIS Walls'!L196*'WAP for Y-AXIS Walls'!$I$229))</f>
        <v>229.0804876</v>
      </c>
      <c r="O283" s="324">
        <f t="shared" ref="O283:O284" si="174">N283/B283</f>
        <v>0.4377907138</v>
      </c>
      <c r="P283" s="387" t="str">
        <f t="shared" ref="P283:P284" si="175">if(O283&lt;=1,"OK","NG")</f>
        <v>OK</v>
      </c>
      <c r="Q283" s="388"/>
      <c r="R283" s="328"/>
      <c r="S283" s="142">
        <f t="shared" ref="S283:S284" si="176">R235/$R$285</f>
        <v>0.3640868835</v>
      </c>
      <c r="T283" s="385">
        <f t="shared" ref="T283:T284" si="177">$Q$285*$R$315*S283*$T$281</f>
        <v>11.21804854</v>
      </c>
      <c r="U283" s="385">
        <f>IF('WAP for Y-AXIS Walls'!L196=0,0,T283/('WAP for Y-AXIS Walls'!L196*'WAP for Y-AXIS Walls'!$I$229))</f>
        <v>131.3435024</v>
      </c>
      <c r="V283" s="324">
        <f t="shared" ref="V283:V284" si="178">U283/B283</f>
        <v>0.2510076971</v>
      </c>
      <c r="W283" s="386" t="str">
        <f t="shared" ref="W283:W284" si="179">if(V283&lt;=1,"OK","NG")</f>
        <v>OK</v>
      </c>
      <c r="X283" s="387"/>
      <c r="Y283" s="333">
        <f>max(F283,M283)</f>
        <v>19.56576445</v>
      </c>
      <c r="Z283" s="334">
        <f>AC235</f>
        <v>3.274364858</v>
      </c>
      <c r="AA283" s="389" t="s">
        <v>448</v>
      </c>
      <c r="AB283" s="333">
        <f>12.5^2*pi()/4*2</f>
        <v>245.4369261</v>
      </c>
      <c r="AC283" s="26">
        <v>240.0</v>
      </c>
      <c r="AD283" s="374">
        <f>2.9-1.25</f>
        <v>1.65</v>
      </c>
      <c r="AE283" s="26">
        <v>420.0</v>
      </c>
      <c r="AF283" s="334">
        <f>0.8*0.5*AB283/1000/AD283*AE283*'WAP for Y-AXIS Walls'!D196</f>
        <v>32.48692403</v>
      </c>
      <c r="AG283" s="333">
        <f>'WAP for Y-AXIS Walls'!L196*'WAP for Y-AXIS Walls'!$I$63*'WAP for Y-AXIS Walls'!$I$58</f>
        <v>33.52741932</v>
      </c>
      <c r="AH283" s="333">
        <f>'WAP for Y-AXIS Walls'!$I$63*'WAP for Y-AXIS Walls'!$I$57*'WAP for Y-AXIS Walls'!$I$56</f>
        <v>596.5219172</v>
      </c>
      <c r="AI283" s="333">
        <f>'WAP for Y-AXIS Walls'!L196*AH283*'WAP for Y-AXIS Walls'!$I$58</f>
        <v>50.94893695</v>
      </c>
      <c r="AJ283" s="333">
        <f>AG283+AF283+Z283</f>
        <v>69.28870821</v>
      </c>
      <c r="AK283" s="390">
        <f>Y283/AI283</f>
        <v>0.3840269419</v>
      </c>
      <c r="AL283" s="390">
        <f>Y283/AJ283</f>
        <v>0.2823802746</v>
      </c>
      <c r="AM283" s="390">
        <f>AF283/AG283</f>
        <v>0.9689658402</v>
      </c>
      <c r="AN283" s="390">
        <f>Z283/AG283</f>
        <v>0.09766229921</v>
      </c>
    </row>
    <row r="284">
      <c r="B284" s="382">
        <f>'WAP for Y-AXIS Walls'!$I$234*'WAP for Y-AXIS Walls'!$I$227*'WAP for Y-AXIS Walls'!$I$228</f>
        <v>523.2648397</v>
      </c>
      <c r="C284" s="383">
        <f t="shared" si="164"/>
        <v>-1.614709809</v>
      </c>
      <c r="D284" s="328">
        <f t="shared" si="165"/>
        <v>3.056588314</v>
      </c>
      <c r="E284" s="384">
        <f t="shared" si="166"/>
        <v>0.00105399597</v>
      </c>
      <c r="F284" s="385">
        <f t="shared" si="167"/>
        <v>21.31402936</v>
      </c>
      <c r="G284" s="385">
        <f>IF('WAP for Y-AXIS Walls'!L197=0,0,F284/('WAP for Y-AXIS Walls'!L197*'WAP for Y-AXIS Walls'!$I$229))</f>
        <v>202.7590312</v>
      </c>
      <c r="H284" s="324">
        <f t="shared" si="168"/>
        <v>0.3874883535</v>
      </c>
      <c r="I284" s="386" t="str">
        <f t="shared" si="169"/>
        <v>OK</v>
      </c>
      <c r="J284" s="328">
        <f t="shared" si="170"/>
        <v>0.2294339405</v>
      </c>
      <c r="K284" s="328">
        <f t="shared" si="171"/>
        <v>4.900732063</v>
      </c>
      <c r="L284" s="384">
        <f t="shared" si="172"/>
        <v>0.001689907608</v>
      </c>
      <c r="M284" s="385">
        <f t="shared" si="173"/>
        <v>34.17350861</v>
      </c>
      <c r="N284" s="385">
        <f>IF('WAP for Y-AXIS Walls'!L197=0,0,M284/('WAP for Y-AXIS Walls'!L197*'WAP for Y-AXIS Walls'!$I$229))</f>
        <v>325.0904548</v>
      </c>
      <c r="O284" s="324">
        <f t="shared" si="174"/>
        <v>0.6212732639</v>
      </c>
      <c r="P284" s="387" t="str">
        <f t="shared" si="175"/>
        <v>OK</v>
      </c>
      <c r="Q284" s="388"/>
      <c r="R284" s="328"/>
      <c r="S284" s="142">
        <f t="shared" si="176"/>
        <v>0.6359131165</v>
      </c>
      <c r="T284" s="385">
        <f t="shared" si="177"/>
        <v>19.59341171</v>
      </c>
      <c r="U284" s="385">
        <f>IF('WAP for Y-AXIS Walls'!L197=0,0,T284/('WAP for Y-AXIS Walls'!L197*'WAP for Y-AXIS Walls'!$I$229))</f>
        <v>186.3909029</v>
      </c>
      <c r="V284" s="324">
        <f t="shared" si="178"/>
        <v>0.3562075812</v>
      </c>
      <c r="W284" s="386" t="str">
        <f t="shared" si="179"/>
        <v>OK</v>
      </c>
      <c r="X284" s="387"/>
    </row>
    <row r="285">
      <c r="B285" s="382"/>
      <c r="C285" s="383"/>
      <c r="D285" s="328"/>
      <c r="E285" s="384"/>
      <c r="F285" s="385"/>
      <c r="G285" s="385"/>
      <c r="H285" s="324"/>
      <c r="I285" s="145"/>
      <c r="J285" s="328"/>
      <c r="K285" s="328"/>
      <c r="L285" s="384"/>
      <c r="M285" s="385"/>
      <c r="N285" s="385"/>
      <c r="O285" s="324"/>
      <c r="P285" s="82"/>
      <c r="Q285" s="391">
        <f>'WAP for Y-AXIS Walls'!O198/'WAP for Y-AXIS Walls'!$O$209</f>
        <v>0.1301369863</v>
      </c>
      <c r="R285" s="385">
        <f>sum(R235:R236)</f>
        <v>10965.56032</v>
      </c>
      <c r="S285" s="143"/>
      <c r="T285" s="385"/>
      <c r="U285" s="385"/>
      <c r="V285" s="324"/>
      <c r="W285" s="145"/>
      <c r="X285" s="82"/>
    </row>
    <row r="286">
      <c r="B286" s="382">
        <f>'WAP for Y-AXIS Walls'!$I$234*'WAP for Y-AXIS Walls'!$I$227*'WAP for Y-AXIS Walls'!$I$228</f>
        <v>523.2648397</v>
      </c>
      <c r="C286" s="383">
        <f>T238*$G$317*1000</f>
        <v>-1.039128844</v>
      </c>
      <c r="D286" s="328">
        <f>C286+$G$258</f>
        <v>3.632169278</v>
      </c>
      <c r="E286" s="384">
        <f>D286/G238/1000</f>
        <v>0.001252472165</v>
      </c>
      <c r="F286" s="385">
        <f>R238*D286/1000*$F$281</f>
        <v>39.40839343</v>
      </c>
      <c r="G286" s="385">
        <f>IF('WAP for Y-AXIS Walls'!L199=0,0,F286/('WAP for Y-AXIS Walls'!L199*'WAP for Y-AXIS Walls'!$I$229))</f>
        <v>315.6964947</v>
      </c>
      <c r="H286" s="324">
        <f>G286/B286</f>
        <v>0.603320672</v>
      </c>
      <c r="I286" s="386" t="str">
        <f>if(H286&lt;=1,"OK","NG")</f>
        <v>OK</v>
      </c>
      <c r="J286" s="328">
        <f>T238*$R$317*1000</f>
        <v>0.1476497041</v>
      </c>
      <c r="K286" s="328">
        <f>J286+$G$258</f>
        <v>4.818947826</v>
      </c>
      <c r="L286" s="384">
        <f>K286/G238/1000</f>
        <v>0.001661706147</v>
      </c>
      <c r="M286" s="385">
        <f>R238*K286/1000*$M$281</f>
        <v>52.28473051</v>
      </c>
      <c r="N286" s="385">
        <f>IF('WAP for Y-AXIS Walls'!L199=0,0,M286/('WAP for Y-AXIS Walls'!L199*'WAP for Y-AXIS Walls'!$I$229))</f>
        <v>418.8474767</v>
      </c>
      <c r="O286" s="324">
        <f>N286/B286</f>
        <v>0.8004502594</v>
      </c>
      <c r="P286" s="387" t="str">
        <f>if(O286&lt;=1,"OK","NG")</f>
        <v>OK</v>
      </c>
      <c r="Q286" s="391"/>
      <c r="R286" s="385"/>
      <c r="S286" s="142">
        <f>R238/R287</f>
        <v>1</v>
      </c>
      <c r="T286" s="385">
        <f>$Q$287*$R$315*S286*$T$281</f>
        <v>58.37960889</v>
      </c>
      <c r="U286" s="385">
        <f>IF('WAP for Y-AXIS Walls'!L199=0,0,T286/('WAP for Y-AXIS Walls'!L199*'WAP for Y-AXIS Walls'!$I$229))</f>
        <v>467.6729063</v>
      </c>
      <c r="V286" s="324">
        <f>U286/B286</f>
        <v>0.893759471</v>
      </c>
      <c r="W286" s="386" t="str">
        <f>if(V286&lt;=1,"OK","NG")</f>
        <v>OK</v>
      </c>
      <c r="X286" s="387"/>
      <c r="Y286" s="333">
        <f>max(F286,M286)</f>
        <v>52.28473051</v>
      </c>
      <c r="Z286" s="334">
        <f>AC238</f>
        <v>6.20405973</v>
      </c>
      <c r="AA286" s="389" t="s">
        <v>448</v>
      </c>
      <c r="AB286" s="333">
        <f>12.5^2*pi()/4*2</f>
        <v>245.4369261</v>
      </c>
      <c r="AC286" s="26">
        <v>240.0</v>
      </c>
      <c r="AD286" s="374">
        <f>2.9-1.25</f>
        <v>1.65</v>
      </c>
      <c r="AE286" s="26">
        <v>420.0</v>
      </c>
      <c r="AF286" s="334">
        <f>0.8*0.5*AB286/1000/AD286*AE286*'WAP for Y-AXIS Walls'!D199</f>
        <v>47.48088897</v>
      </c>
      <c r="AG286" s="333">
        <f>'WAP for Y-AXIS Walls'!L199*'WAP for Y-AXIS Walls'!$I$63*'WAP for Y-AXIS Walls'!$I$58</f>
        <v>49.00161285</v>
      </c>
      <c r="AH286" s="333">
        <f>'WAP for Y-AXIS Walls'!$I$63*'WAP for Y-AXIS Walls'!$I$57*'WAP for Y-AXIS Walls'!$I$56</f>
        <v>596.5219172</v>
      </c>
      <c r="AI286" s="333">
        <f>'WAP for Y-AXIS Walls'!L199*AH286*'WAP for Y-AXIS Walls'!$I$58</f>
        <v>74.46383093</v>
      </c>
      <c r="AJ286" s="333">
        <f>AG286+AF286+Z286</f>
        <v>102.6865616</v>
      </c>
      <c r="AK286" s="390">
        <f>Y286/AI286</f>
        <v>0.7021493504</v>
      </c>
      <c r="AL286" s="390">
        <f>Y286/AJ286</f>
        <v>0.5091681883</v>
      </c>
      <c r="AM286" s="390">
        <f>AF286/AG286</f>
        <v>0.9689658402</v>
      </c>
      <c r="AN286" s="390">
        <f>Z286/AG286</f>
        <v>0.1266092965</v>
      </c>
    </row>
    <row r="287">
      <c r="B287" s="382"/>
      <c r="C287" s="383"/>
      <c r="D287" s="328"/>
      <c r="E287" s="384"/>
      <c r="F287" s="385"/>
      <c r="G287" s="385"/>
      <c r="H287" s="324"/>
      <c r="I287" s="145"/>
      <c r="J287" s="328"/>
      <c r="K287" s="328"/>
      <c r="L287" s="384"/>
      <c r="M287" s="385"/>
      <c r="N287" s="385"/>
      <c r="O287" s="324"/>
      <c r="P287" s="82"/>
      <c r="Q287" s="391">
        <f>'WAP for Y-AXIS Walls'!O200/'WAP for Y-AXIS Walls'!$O$209</f>
        <v>0.2465753425</v>
      </c>
      <c r="R287" s="385">
        <f>R238</f>
        <v>10849.82291</v>
      </c>
      <c r="S287" s="143"/>
      <c r="T287" s="385"/>
      <c r="U287" s="385"/>
      <c r="V287" s="324"/>
      <c r="W287" s="145"/>
      <c r="X287" s="82"/>
    </row>
    <row r="288">
      <c r="B288" s="382">
        <f>'WAP for Y-AXIS Walls'!$I$234*'WAP for Y-AXIS Walls'!$I$227*'WAP for Y-AXIS Walls'!$I$228</f>
        <v>523.2648397</v>
      </c>
      <c r="C288" s="383">
        <f>T240*$G$317*1000</f>
        <v>-0.4635478798</v>
      </c>
      <c r="D288" s="328">
        <f>C288+$G$258</f>
        <v>4.207750242</v>
      </c>
      <c r="E288" s="384">
        <f>D288/G240/1000</f>
        <v>0.001450948359</v>
      </c>
      <c r="F288" s="385">
        <f>R240*D288/1000*$F$281</f>
        <v>45.65334497</v>
      </c>
      <c r="G288" s="385">
        <f>IF('WAP for Y-AXIS Walls'!L201=0,0,F288/('WAP for Y-AXIS Walls'!L201*'WAP for Y-AXIS Walls'!$I$229))</f>
        <v>365.7241446</v>
      </c>
      <c r="H288" s="324">
        <f>G288/B288</f>
        <v>0.6989274204</v>
      </c>
      <c r="I288" s="386" t="str">
        <f>if(H288&lt;=1,"OK","NG")</f>
        <v>OK</v>
      </c>
      <c r="J288" s="328">
        <f>T240*$R$317*1000</f>
        <v>0.06586546766</v>
      </c>
      <c r="K288" s="328">
        <f>J288+$G$258</f>
        <v>4.73716359</v>
      </c>
      <c r="L288" s="384">
        <f>K288/G240/1000</f>
        <v>0.001633504686</v>
      </c>
      <c r="M288" s="385">
        <f>R240*K288/1000*$M$281</f>
        <v>51.39738603</v>
      </c>
      <c r="N288" s="385">
        <f>IF('WAP for Y-AXIS Walls'!L201=0,0,M288/('WAP for Y-AXIS Walls'!L201*'WAP for Y-AXIS Walls'!$I$229))</f>
        <v>411.7390534</v>
      </c>
      <c r="O288" s="324">
        <f>N288/B288</f>
        <v>0.786865507</v>
      </c>
      <c r="P288" s="387" t="str">
        <f>if(O288&lt;=1,"OK","NG")</f>
        <v>OK</v>
      </c>
      <c r="Q288" s="391"/>
      <c r="R288" s="385"/>
      <c r="S288" s="142">
        <f>R240/R289</f>
        <v>1</v>
      </c>
      <c r="T288" s="385">
        <f>$Q$289*$R$315*S288*$T$281</f>
        <v>58.37960889</v>
      </c>
      <c r="U288" s="385">
        <f>IF('WAP for Y-AXIS Walls'!L201=0,0,T288/('WAP for Y-AXIS Walls'!L201*'WAP for Y-AXIS Walls'!$I$229))</f>
        <v>467.6729063</v>
      </c>
      <c r="V288" s="324">
        <f>U288/B288</f>
        <v>0.893759471</v>
      </c>
      <c r="W288" s="386" t="str">
        <f>if(V288&lt;=1,"OK","NG")</f>
        <v>OK</v>
      </c>
      <c r="X288" s="387"/>
      <c r="Y288" s="333">
        <f>max(F288,M288)</f>
        <v>51.39738603</v>
      </c>
      <c r="Z288" s="334">
        <f>AC240</f>
        <v>6.20405973</v>
      </c>
      <c r="AA288" s="389" t="s">
        <v>448</v>
      </c>
      <c r="AB288" s="333">
        <f>12.5^2*pi()/4*2</f>
        <v>245.4369261</v>
      </c>
      <c r="AC288" s="26">
        <v>240.0</v>
      </c>
      <c r="AD288" s="374">
        <f>2.9-1.25</f>
        <v>1.65</v>
      </c>
      <c r="AE288" s="26">
        <v>420.0</v>
      </c>
      <c r="AF288" s="334">
        <f>0.8*0.5*AB288/1000/AD288*AE288*'WAP for Y-AXIS Walls'!D201</f>
        <v>47.48088897</v>
      </c>
      <c r="AG288" s="333">
        <f>'WAP for Y-AXIS Walls'!L201*'WAP for Y-AXIS Walls'!$I$63*'WAP for Y-AXIS Walls'!$I$58</f>
        <v>49.00161285</v>
      </c>
      <c r="AH288" s="333">
        <f>'WAP for Y-AXIS Walls'!$I$63*'WAP for Y-AXIS Walls'!$I$57*'WAP for Y-AXIS Walls'!$I$56</f>
        <v>596.5219172</v>
      </c>
      <c r="AI288" s="333">
        <f>'WAP for Y-AXIS Walls'!L201*AH288*'WAP for Y-AXIS Walls'!$I$58</f>
        <v>74.46383093</v>
      </c>
      <c r="AJ288" s="333">
        <f>AG288+AF288+Z288</f>
        <v>102.6865616</v>
      </c>
      <c r="AK288" s="390">
        <f>Y288/AI288</f>
        <v>0.6902329009</v>
      </c>
      <c r="AL288" s="390">
        <f>Y288/AJ288</f>
        <v>0.5005268971</v>
      </c>
      <c r="AM288" s="390">
        <f>AF288/AG288</f>
        <v>0.9689658402</v>
      </c>
      <c r="AN288" s="390">
        <f>Z288/AG288</f>
        <v>0.1266092965</v>
      </c>
    </row>
    <row r="289">
      <c r="B289" s="382"/>
      <c r="C289" s="383"/>
      <c r="D289" s="328"/>
      <c r="E289" s="384"/>
      <c r="F289" s="385"/>
      <c r="G289" s="385"/>
      <c r="H289" s="324"/>
      <c r="I289" s="145"/>
      <c r="J289" s="328"/>
      <c r="K289" s="328"/>
      <c r="L289" s="384"/>
      <c r="M289" s="385"/>
      <c r="N289" s="385"/>
      <c r="O289" s="324"/>
      <c r="P289" s="82"/>
      <c r="Q289" s="391">
        <f>'WAP for Y-AXIS Walls'!O202/'WAP for Y-AXIS Walls'!$O$209</f>
        <v>0.2465753425</v>
      </c>
      <c r="R289" s="385">
        <f>R240</f>
        <v>10849.82291</v>
      </c>
      <c r="S289" s="143"/>
      <c r="T289" s="385"/>
      <c r="U289" s="385"/>
      <c r="V289" s="324"/>
      <c r="W289" s="145"/>
      <c r="X289" s="82"/>
    </row>
    <row r="290">
      <c r="B290" s="382">
        <f>'WAP for Y-AXIS Walls'!$I$234*'WAP for Y-AXIS Walls'!$I$227*'WAP for Y-AXIS Walls'!$I$228</f>
        <v>523.2648397</v>
      </c>
      <c r="C290" s="383">
        <f>T242*$G$317*1000</f>
        <v>0.1120330846</v>
      </c>
      <c r="D290" s="328">
        <f>C290+$G$258</f>
        <v>4.783331207</v>
      </c>
      <c r="E290" s="384">
        <f>D290/G242/1000</f>
        <v>0.001649424554</v>
      </c>
      <c r="F290" s="385">
        <f>R242*D290/1000*$F$281</f>
        <v>51.8982965</v>
      </c>
      <c r="G290" s="385">
        <f>IF('WAP for Y-AXIS Walls'!L203=0,0,F290/('WAP for Y-AXIS Walls'!L203*'WAP for Y-AXIS Walls'!$I$229))</f>
        <v>415.7517944</v>
      </c>
      <c r="H290" s="324">
        <f>G290/B290</f>
        <v>0.7945341688</v>
      </c>
      <c r="I290" s="386" t="str">
        <f>if(H290&lt;=1,"OK","NG")</f>
        <v>OK</v>
      </c>
      <c r="J290" s="328">
        <f>T242*$R$317*1000</f>
        <v>-0.01591876877</v>
      </c>
      <c r="K290" s="328">
        <f>J290+$G$258</f>
        <v>4.655379354</v>
      </c>
      <c r="L290" s="384">
        <f>K290/G242/1000</f>
        <v>0.001605303225</v>
      </c>
      <c r="M290" s="385">
        <f>R242*K290/1000*$M$281</f>
        <v>50.51004155</v>
      </c>
      <c r="N290" s="385">
        <f>IF('WAP for Y-AXIS Walls'!L203=0,0,M290/('WAP for Y-AXIS Walls'!L203*'WAP for Y-AXIS Walls'!$I$229))</f>
        <v>404.63063</v>
      </c>
      <c r="O290" s="324">
        <f>N290/B290</f>
        <v>0.7732807546</v>
      </c>
      <c r="P290" s="387" t="str">
        <f>if(O290&lt;=1,"OK","NG")</f>
        <v>OK</v>
      </c>
      <c r="Q290" s="391"/>
      <c r="R290" s="385"/>
      <c r="S290" s="142">
        <f>R242/R291</f>
        <v>1</v>
      </c>
      <c r="T290" s="385">
        <f>$Q$291*$R$315*S290*$T$281</f>
        <v>58.37960889</v>
      </c>
      <c r="U290" s="385">
        <f>IF('WAP for Y-AXIS Walls'!L203=0,0,T290/('WAP for Y-AXIS Walls'!L203*'WAP for Y-AXIS Walls'!$I$229))</f>
        <v>467.6729063</v>
      </c>
      <c r="V290" s="324">
        <f>U290/B290</f>
        <v>0.893759471</v>
      </c>
      <c r="W290" s="386" t="str">
        <f>if(V290&lt;=1,"OK","NG")</f>
        <v>OK</v>
      </c>
      <c r="X290" s="387"/>
      <c r="Y290" s="333">
        <f>max(F290,M290)</f>
        <v>51.8982965</v>
      </c>
      <c r="Z290" s="334">
        <f>AC242</f>
        <v>6.20405973</v>
      </c>
      <c r="AA290" s="389" t="s">
        <v>448</v>
      </c>
      <c r="AB290" s="333">
        <f>12.5^2*pi()/4*2</f>
        <v>245.4369261</v>
      </c>
      <c r="AC290" s="26">
        <v>240.0</v>
      </c>
      <c r="AD290" s="374">
        <f>2.9-1.25</f>
        <v>1.65</v>
      </c>
      <c r="AE290" s="26">
        <v>420.0</v>
      </c>
      <c r="AF290" s="334">
        <f>0.8*0.5*AB290/1000/AD290*AE290*'WAP for Y-AXIS Walls'!D203</f>
        <v>47.48088897</v>
      </c>
      <c r="AG290" s="333">
        <f>'WAP for Y-AXIS Walls'!L203*'WAP for Y-AXIS Walls'!$I$63*'WAP for Y-AXIS Walls'!$I$58</f>
        <v>49.00161285</v>
      </c>
      <c r="AH290" s="333">
        <f>'WAP for Y-AXIS Walls'!$I$63*'WAP for Y-AXIS Walls'!$I$57*'WAP for Y-AXIS Walls'!$I$56</f>
        <v>596.5219172</v>
      </c>
      <c r="AI290" s="333">
        <f>'WAP for Y-AXIS Walls'!L203*AH290*'WAP for Y-AXIS Walls'!$I$58</f>
        <v>74.46383093</v>
      </c>
      <c r="AJ290" s="333">
        <f>AG290+AF290+Z290</f>
        <v>102.6865616</v>
      </c>
      <c r="AK290" s="390">
        <f>Y290/AI290</f>
        <v>0.6969597972</v>
      </c>
      <c r="AL290" s="390">
        <f>Y290/AJ290</f>
        <v>0.5054049499</v>
      </c>
      <c r="AM290" s="390">
        <f>AF290/AG290</f>
        <v>0.9689658402</v>
      </c>
      <c r="AN290" s="390">
        <f>Z290/AG290</f>
        <v>0.1266092965</v>
      </c>
    </row>
    <row r="291">
      <c r="B291" s="382"/>
      <c r="C291" s="383"/>
      <c r="D291" s="328"/>
      <c r="E291" s="384"/>
      <c r="F291" s="385"/>
      <c r="G291" s="385"/>
      <c r="H291" s="324"/>
      <c r="I291" s="145"/>
      <c r="J291" s="328"/>
      <c r="K291" s="328"/>
      <c r="L291" s="384"/>
      <c r="M291" s="385"/>
      <c r="N291" s="385"/>
      <c r="O291" s="324"/>
      <c r="P291" s="82"/>
      <c r="Q291" s="391">
        <f>'WAP for Y-AXIS Walls'!O204/'WAP for Y-AXIS Walls'!$O$209</f>
        <v>0.2465753425</v>
      </c>
      <c r="R291" s="385">
        <f>R242</f>
        <v>10849.82291</v>
      </c>
      <c r="S291" s="143"/>
      <c r="T291" s="385"/>
      <c r="U291" s="385"/>
      <c r="V291" s="324"/>
      <c r="W291" s="145"/>
      <c r="X291" s="82"/>
    </row>
    <row r="292">
      <c r="B292" s="382">
        <f>'WAP for Y-AXIS Walls'!$I$234*'WAP for Y-AXIS Walls'!$I$227*'WAP for Y-AXIS Walls'!$I$228</f>
        <v>523.2648397</v>
      </c>
      <c r="C292" s="383">
        <f t="shared" ref="C292:C293" si="180">T244*$G$317*1000</f>
        <v>0.687614049</v>
      </c>
      <c r="D292" s="328">
        <f t="shared" ref="D292:D293" si="181">C292+$G$258</f>
        <v>5.358912171</v>
      </c>
      <c r="E292" s="384">
        <f t="shared" ref="E292:E293" si="182">D292/G244/1000</f>
        <v>0.001847900749</v>
      </c>
      <c r="F292" s="385">
        <f t="shared" ref="F292:F293" si="183">R244*D292/1000*$F$281</f>
        <v>19.20990257</v>
      </c>
      <c r="G292" s="385">
        <f>IF('WAP for Y-AXIS Walls'!L205=0,0,F292/('WAP for Y-AXIS Walls'!L205*'WAP for Y-AXIS Walls'!$I$229))</f>
        <v>233.9105336</v>
      </c>
      <c r="H292" s="324">
        <f t="shared" ref="H292:H293" si="184">G292/B292</f>
        <v>0.447021309</v>
      </c>
      <c r="I292" s="386" t="str">
        <f t="shared" ref="I292:I293" si="185">if(H292&lt;=1,"OK","NG")</f>
        <v>OK</v>
      </c>
      <c r="J292" s="328">
        <f t="shared" ref="J292:J293" si="186">T244*$R$317*1000</f>
        <v>-0.09770300519</v>
      </c>
      <c r="K292" s="328">
        <f t="shared" ref="K292:K293" si="187">J292+$G$258</f>
        <v>4.573595117</v>
      </c>
      <c r="L292" s="384">
        <f t="shared" ref="L292:L293" si="188">K292/G244/1000</f>
        <v>0.001577101765</v>
      </c>
      <c r="M292" s="385">
        <f t="shared" ref="M292:M293" si="189">R244*K292/1000*$M$281</f>
        <v>16.39480435</v>
      </c>
      <c r="N292" s="385">
        <f>IF('WAP for Y-AXIS Walls'!L205=0,0,M292/('WAP for Y-AXIS Walls'!L205*'WAP for Y-AXIS Walls'!$I$229))</f>
        <v>199.6323209</v>
      </c>
      <c r="O292" s="324">
        <f t="shared" ref="O292:O293" si="190">N292/B292</f>
        <v>0.3815129658</v>
      </c>
      <c r="P292" s="387" t="str">
        <f t="shared" ref="P292:P293" si="191">if(O292&lt;=1,"OK","NG")</f>
        <v>OK</v>
      </c>
      <c r="Q292" s="391"/>
      <c r="R292" s="385"/>
      <c r="S292" s="142">
        <f t="shared" ref="S292:S293" si="192">R244/$R$294</f>
        <v>0.5</v>
      </c>
      <c r="T292" s="385">
        <f t="shared" ref="T292:T293" si="193">$Q$294*$R$315*S292*$T$281</f>
        <v>15.40573012</v>
      </c>
      <c r="U292" s="385">
        <f>IF('WAP for Y-AXIS Walls'!L205=0,0,T292/('WAP for Y-AXIS Walls'!L205*'WAP for Y-AXIS Walls'!$I$229))</f>
        <v>187.5887991</v>
      </c>
      <c r="V292" s="324">
        <f t="shared" ref="V292:V293" si="194">U292/B292</f>
        <v>0.3584968545</v>
      </c>
      <c r="W292" s="386" t="str">
        <f t="shared" ref="W292:W293" si="195">if(V292&lt;=1,"OK","NG")</f>
        <v>OK</v>
      </c>
      <c r="X292" s="387"/>
      <c r="Y292" s="333">
        <f>max(F292,M292)</f>
        <v>19.20990257</v>
      </c>
      <c r="Z292" s="334">
        <f>AC244</f>
        <v>3.274364858</v>
      </c>
      <c r="AA292" s="389" t="s">
        <v>448</v>
      </c>
      <c r="AB292" s="333">
        <f>12.5^2*pi()/4*2</f>
        <v>245.4369261</v>
      </c>
      <c r="AC292" s="26">
        <v>240.0</v>
      </c>
      <c r="AD292" s="374">
        <f>2.9-1.25</f>
        <v>1.65</v>
      </c>
      <c r="AE292" s="26">
        <v>420.0</v>
      </c>
      <c r="AF292" s="334">
        <f>0.8*0.5*AB292/1000/AD292*AE292*'WAP for Y-AXIS Walls'!D205</f>
        <v>31.23742695</v>
      </c>
      <c r="AG292" s="333">
        <f>'WAP for Y-AXIS Walls'!L205*'WAP for Y-AXIS Walls'!$I$63*'WAP for Y-AXIS Walls'!$I$58</f>
        <v>32.23790319</v>
      </c>
      <c r="AH292" s="333">
        <f>'WAP for Y-AXIS Walls'!$I$63*'WAP for Y-AXIS Walls'!$I$57*'WAP for Y-AXIS Walls'!$I$56</f>
        <v>596.5219172</v>
      </c>
      <c r="AI292" s="333">
        <f>'WAP for Y-AXIS Walls'!L205*AH292*'WAP for Y-AXIS Walls'!$I$58</f>
        <v>48.98936245</v>
      </c>
      <c r="AJ292" s="333">
        <f>AG292+AF292+Z292</f>
        <v>66.749695</v>
      </c>
      <c r="AK292" s="390">
        <f>Y292/AI292</f>
        <v>0.3921239553</v>
      </c>
      <c r="AL292" s="390">
        <f>Y292/AJ292</f>
        <v>0.2877901175</v>
      </c>
      <c r="AM292" s="390">
        <f>AF292/AG292</f>
        <v>0.9689658402</v>
      </c>
      <c r="AN292" s="390">
        <f>Z292/AG292</f>
        <v>0.1015687912</v>
      </c>
    </row>
    <row r="293">
      <c r="B293" s="382">
        <f>'WAP for Y-AXIS Walls'!$I$234*'WAP for Y-AXIS Walls'!$I$227*'WAP for Y-AXIS Walls'!$I$228</f>
        <v>523.2648397</v>
      </c>
      <c r="C293" s="383">
        <f t="shared" si="180"/>
        <v>0.687614049</v>
      </c>
      <c r="D293" s="328">
        <f t="shared" si="181"/>
        <v>5.358912171</v>
      </c>
      <c r="E293" s="384">
        <f t="shared" si="182"/>
        <v>0.001847900749</v>
      </c>
      <c r="F293" s="385">
        <f t="shared" si="183"/>
        <v>19.20990257</v>
      </c>
      <c r="G293" s="385">
        <f>IF('WAP for Y-AXIS Walls'!L206=0,0,F293/('WAP for Y-AXIS Walls'!L206*'WAP for Y-AXIS Walls'!$I$229))</f>
        <v>233.9105336</v>
      </c>
      <c r="H293" s="324">
        <f t="shared" si="184"/>
        <v>0.447021309</v>
      </c>
      <c r="I293" s="386" t="str">
        <f t="shared" si="185"/>
        <v>OK</v>
      </c>
      <c r="J293" s="328">
        <f t="shared" si="186"/>
        <v>-0.09770300519</v>
      </c>
      <c r="K293" s="328">
        <f t="shared" si="187"/>
        <v>4.573595117</v>
      </c>
      <c r="L293" s="384">
        <f t="shared" si="188"/>
        <v>0.001577101765</v>
      </c>
      <c r="M293" s="385">
        <f t="shared" si="189"/>
        <v>16.39480435</v>
      </c>
      <c r="N293" s="385">
        <f>IF('WAP for Y-AXIS Walls'!L206=0,0,M293/('WAP for Y-AXIS Walls'!L206*'WAP for Y-AXIS Walls'!$I$229))</f>
        <v>199.6323209</v>
      </c>
      <c r="O293" s="324">
        <f t="shared" si="190"/>
        <v>0.3815129658</v>
      </c>
      <c r="P293" s="387" t="str">
        <f t="shared" si="191"/>
        <v>OK</v>
      </c>
      <c r="Q293" s="391"/>
      <c r="R293" s="385"/>
      <c r="S293" s="142">
        <f t="shared" si="192"/>
        <v>0.5</v>
      </c>
      <c r="T293" s="385">
        <f t="shared" si="193"/>
        <v>15.40573012</v>
      </c>
      <c r="U293" s="385">
        <f>IF('WAP for Y-AXIS Walls'!L206=0,0,T293/('WAP for Y-AXIS Walls'!L206*'WAP for Y-AXIS Walls'!$I$229))</f>
        <v>187.5887991</v>
      </c>
      <c r="V293" s="324">
        <f t="shared" si="194"/>
        <v>0.3584968545</v>
      </c>
      <c r="W293" s="386" t="str">
        <f t="shared" si="195"/>
        <v>OK</v>
      </c>
      <c r="X293" s="387"/>
    </row>
    <row r="294">
      <c r="B294" s="392"/>
      <c r="C294" s="383"/>
      <c r="D294" s="328"/>
      <c r="E294" s="82"/>
      <c r="F294" s="393"/>
      <c r="G294" s="82"/>
      <c r="H294" s="82"/>
      <c r="I294" s="145"/>
      <c r="J294" s="328"/>
      <c r="K294" s="82"/>
      <c r="L294" s="82"/>
      <c r="M294" s="393"/>
      <c r="N294" s="82"/>
      <c r="O294" s="82"/>
      <c r="P294" s="82"/>
      <c r="Q294" s="391">
        <f>'WAP for Y-AXIS Walls'!O207/'WAP for Y-AXIS Walls'!$O$209</f>
        <v>0.1301369863</v>
      </c>
      <c r="R294" s="385">
        <f>sum(R244:R245)</f>
        <v>7169.329131</v>
      </c>
      <c r="S294" s="143"/>
      <c r="T294" s="393"/>
      <c r="U294" s="82"/>
      <c r="V294" s="82"/>
      <c r="W294" s="145"/>
      <c r="X294" s="82"/>
    </row>
    <row r="295">
      <c r="B295" s="392"/>
      <c r="C295" s="345"/>
      <c r="D295" s="127"/>
      <c r="E295" s="127"/>
      <c r="F295" s="394"/>
      <c r="G295" s="127"/>
      <c r="H295" s="127"/>
      <c r="I295" s="128"/>
      <c r="J295" s="347"/>
      <c r="K295" s="347"/>
      <c r="L295" s="127"/>
      <c r="M295" s="394"/>
      <c r="N295" s="347"/>
      <c r="O295" s="127"/>
      <c r="P295" s="127"/>
      <c r="Q295" s="395"/>
      <c r="R295" s="127"/>
      <c r="S295" s="170"/>
      <c r="T295" s="394"/>
      <c r="U295" s="127"/>
      <c r="V295" s="127"/>
      <c r="W295" s="128"/>
      <c r="X295" s="82"/>
    </row>
    <row r="296">
      <c r="B296" s="396"/>
      <c r="C296" s="397"/>
      <c r="D296" s="347">
        <f>(min(D283:D295)+max(D283:D295))/2</f>
        <v>4.207750242</v>
      </c>
      <c r="E296" s="315" t="s">
        <v>449</v>
      </c>
      <c r="F296" s="394">
        <f>sum(F283:F295)</f>
        <v>208.8970436</v>
      </c>
      <c r="G296" s="394">
        <f>F296/ 'WAP for Y-AXIS Walls'!L209/'WAP for Y-AXIS Walls'!I229</f>
        <v>286.4467804</v>
      </c>
      <c r="H296" s="347">
        <f>G296/G297</f>
        <v>0.8211332734</v>
      </c>
      <c r="I296" s="128" t="str">
        <f>if(H296&lt;=1,"OK","NG")</f>
        <v>OK</v>
      </c>
      <c r="J296" s="398"/>
      <c r="K296" s="347">
        <f>(min(K283:K295)+max(K283:K295))/2</f>
        <v>4.73716359</v>
      </c>
      <c r="L296" s="399" t="s">
        <v>449</v>
      </c>
      <c r="M296" s="394">
        <f>sum(M283:M295)</f>
        <v>240.7210399</v>
      </c>
      <c r="N296" s="394">
        <f>M296/'WAP for Y-AXIS Walls'!L209/'WAP for Y-AXIS Walls'!I229</f>
        <v>330.0849341</v>
      </c>
      <c r="O296" s="347">
        <f>N296/N297</f>
        <v>0.946227156</v>
      </c>
      <c r="P296" s="127" t="str">
        <f>if(O296&lt;=1,"OK","NG")</f>
        <v>OK</v>
      </c>
      <c r="Q296" s="400">
        <f t="shared" ref="Q296:R296" si="196">sum(Q283:Q295)</f>
        <v>1</v>
      </c>
      <c r="R296" s="401">
        <f t="shared" si="196"/>
        <v>50684.35817</v>
      </c>
      <c r="S296" s="402"/>
      <c r="T296" s="394">
        <f>sum(T283:T295)</f>
        <v>236.7617472</v>
      </c>
      <c r="U296" s="394">
        <f>T296/'WAP for Y-AXIS Walls'!L209/'WAP for Y-AXIS Walls'!I229*'WAP for Y-AXIS Walls'!I235</f>
        <v>486.9837245</v>
      </c>
      <c r="V296" s="347">
        <f>U296/U297</f>
        <v>0.9306639536</v>
      </c>
      <c r="W296" s="128" t="str">
        <f t="shared" ref="W296:W299" si="197">if(V296&lt;=1,"OK","NG")</f>
        <v>OK</v>
      </c>
      <c r="X296" s="71"/>
    </row>
    <row r="297">
      <c r="B297" s="327"/>
      <c r="D297" s="447">
        <f>max(D283:D295)</f>
        <v>5.358912171</v>
      </c>
      <c r="E297" s="76" t="s">
        <v>450</v>
      </c>
      <c r="F297" s="393">
        <f>G315*F281</f>
        <v>236.7617472</v>
      </c>
      <c r="G297" s="393">
        <f>'WAP for Y-AXIS Walls'!I234*'WAP for Y-AXIS Walls'!I227/'WAP for Y-AXIS Walls'!I235</f>
        <v>348.8432264</v>
      </c>
      <c r="H297" s="408">
        <f>'WAP for Y-AXIS Walls'!I248</f>
        <v>0.9306639536</v>
      </c>
      <c r="I297" s="68"/>
      <c r="K297" s="447">
        <f>max(K283:K295)</f>
        <v>4.900732063</v>
      </c>
      <c r="L297" s="406" t="s">
        <v>450</v>
      </c>
      <c r="M297" s="393">
        <f>R315*M281</f>
        <v>236.7617472</v>
      </c>
      <c r="N297" s="393">
        <f>'WAP for Y-AXIS Walls'!I234*'WAP for Y-AXIS Walls'!I227/'WAP for Y-AXIS Walls'!I235</f>
        <v>348.8432264</v>
      </c>
      <c r="O297" s="408">
        <f>'WAP for Y-AXIS Walls'!I248</f>
        <v>0.9306639536</v>
      </c>
      <c r="P297" s="308" t="s">
        <v>451</v>
      </c>
      <c r="R297" s="387"/>
      <c r="S297" s="77" t="s">
        <v>452</v>
      </c>
      <c r="T297" s="393">
        <f>T296/'WAP for Y-AXIS Walls'!L209/'WAP for Y-AXIS Walls'!I229</f>
        <v>324.6558163</v>
      </c>
      <c r="U297" s="407">
        <f>'WAP for Y-AXIS Walls'!I234*'WAP for Y-AXIS Walls'!I227</f>
        <v>523.2648397</v>
      </c>
      <c r="V297" s="408">
        <f>T297/U297</f>
        <v>0.6204426358</v>
      </c>
      <c r="W297" s="407" t="str">
        <f t="shared" si="197"/>
        <v>OK</v>
      </c>
    </row>
    <row r="298">
      <c r="B298" s="68"/>
      <c r="D298" s="328">
        <f>D297/D296</f>
        <v>1.273581335</v>
      </c>
      <c r="E298" s="80" t="s">
        <v>453</v>
      </c>
      <c r="F298" s="68"/>
      <c r="G298" s="410"/>
      <c r="H298" s="328">
        <f>MAX(H283:H295)</f>
        <v>0.7945341688</v>
      </c>
      <c r="I298" s="68"/>
      <c r="K298" s="328">
        <f>K297/K296</f>
        <v>1.034528779</v>
      </c>
      <c r="L298" s="80" t="s">
        <v>453</v>
      </c>
      <c r="M298" s="68"/>
      <c r="N298" s="410"/>
      <c r="O298" s="328">
        <f>MAX(O283:O295)</f>
        <v>0.8004502594</v>
      </c>
      <c r="P298" s="68"/>
      <c r="R298" s="328"/>
      <c r="S298" s="68"/>
      <c r="T298" s="68"/>
      <c r="U298" s="68"/>
      <c r="V298" s="408">
        <f>'WAP for Y-AXIS Walls'!I248</f>
        <v>0.9306639536</v>
      </c>
      <c r="W298" s="407" t="str">
        <f t="shared" si="197"/>
        <v>OK</v>
      </c>
    </row>
    <row r="299">
      <c r="B299" s="82"/>
      <c r="D299" s="97">
        <f>min(max(1,(D297/1.2/D296)^2),3)</f>
        <v>1.126395428</v>
      </c>
      <c r="E299" s="71" t="s">
        <v>454</v>
      </c>
      <c r="F299" s="68"/>
      <c r="G299" s="68"/>
      <c r="H299" s="68"/>
      <c r="I299" s="68"/>
      <c r="K299" s="97">
        <f>min(max(1,(K297/1.2/K296)^2),3)</f>
        <v>1</v>
      </c>
      <c r="L299" s="71" t="s">
        <v>454</v>
      </c>
      <c r="M299" s="68"/>
      <c r="N299" s="114"/>
      <c r="O299" s="68"/>
      <c r="P299" s="68"/>
      <c r="R299" s="68"/>
      <c r="S299" s="68"/>
      <c r="T299" s="68"/>
      <c r="U299" s="68"/>
      <c r="V299" s="97">
        <f>max(V283:V295)</f>
        <v>0.893759471</v>
      </c>
      <c r="W299" s="407" t="str">
        <f t="shared" si="197"/>
        <v>OK</v>
      </c>
    </row>
    <row r="300">
      <c r="B300" s="82"/>
      <c r="D300" s="82"/>
      <c r="E300" s="71" t="s">
        <v>455</v>
      </c>
      <c r="F300" s="68"/>
      <c r="G300" s="68"/>
      <c r="H300" s="68"/>
      <c r="I300" s="68"/>
      <c r="K300" s="328"/>
      <c r="L300" s="71" t="s">
        <v>455</v>
      </c>
      <c r="M300" s="68"/>
      <c r="N300" s="114"/>
      <c r="O300" s="68"/>
      <c r="P300" s="68"/>
      <c r="R300" s="68"/>
      <c r="S300" s="68"/>
      <c r="T300" s="68"/>
      <c r="U300" s="68"/>
      <c r="V300" s="68"/>
      <c r="W300" s="68"/>
      <c r="X300" s="68"/>
    </row>
    <row r="301">
      <c r="C301" s="82"/>
      <c r="D301" s="411" t="str">
        <f>if(D298&lt;1,"ERREUR &lt;1",if(D298&lt;=1.2,"Pas d'irrégularité torsionnelle, Max/Avg&lt;1.2",if(D298&lt;=1.4,"Irrégularité torsionnelle 1a, Max/Moy=1.2-1.4","Irrégularité torsionnelle extrême 1b, Max/Moy&gt;1.4")))</f>
        <v>Irrégularité torsionnelle 1a, Max/Moy=1.2-1.4</v>
      </c>
      <c r="E301" s="406"/>
      <c r="F301" s="68"/>
      <c r="G301" s="68"/>
      <c r="H301" s="114" t="s">
        <v>456</v>
      </c>
      <c r="I301" s="68"/>
      <c r="J301" s="68"/>
      <c r="K301" s="68"/>
      <c r="L301" s="411" t="str">
        <f>if(K298&lt;1,"ERROR &lt;1",if(K298&lt;=1.2,"Pas d'irrégularité torsionnelle, Max/Avg&lt;1.2",if(K298&lt;=1.4,"Irrégularité torsionnelle 1a, Max/Moy=1.2-1.4","Irrégularité torsionnelle extrême 1b, Max/Moy&gt;1.4")))</f>
        <v>Pas d'irrégularité torsionnelle, Max/Avg&lt;1.2</v>
      </c>
      <c r="M301" s="68"/>
      <c r="N301" s="68"/>
      <c r="O301" s="68"/>
      <c r="P301" s="114" t="s">
        <v>456</v>
      </c>
      <c r="Q301" s="410"/>
      <c r="R301" s="68"/>
      <c r="S301" s="68"/>
      <c r="T301" s="68"/>
      <c r="U301" s="68"/>
      <c r="V301" s="68"/>
      <c r="W301" s="68"/>
      <c r="X301" s="68"/>
      <c r="Y301" s="68"/>
    </row>
    <row r="302">
      <c r="C302" s="82"/>
      <c r="D302" s="68"/>
      <c r="E302" s="68"/>
      <c r="F302" s="414"/>
      <c r="G302" s="414"/>
      <c r="H302" s="406"/>
      <c r="I302" s="68"/>
      <c r="J302" s="68"/>
      <c r="K302" s="68"/>
      <c r="L302" s="68"/>
      <c r="M302" s="68"/>
      <c r="N302" s="68"/>
      <c r="O302" s="410"/>
      <c r="P302" s="415"/>
      <c r="Q302" s="68"/>
      <c r="R302" s="68"/>
      <c r="S302" s="410"/>
      <c r="T302" s="410"/>
      <c r="U302" s="410"/>
      <c r="V302" s="68"/>
      <c r="W302" s="68"/>
      <c r="X302" s="68"/>
      <c r="Y302" s="68"/>
    </row>
    <row r="303">
      <c r="F303" s="416" t="s">
        <v>457</v>
      </c>
      <c r="G303" s="417">
        <f>if(and('WAP for Y-AXIS Walls'!D183="Légère",'WAP for Y-AXIS Walls'!E181="Niveau supérieur"),0.05,0.05)</f>
        <v>0.05</v>
      </c>
      <c r="H303" s="71" t="s">
        <v>458</v>
      </c>
      <c r="I303" s="68"/>
      <c r="J303" s="68"/>
      <c r="L303" s="68"/>
      <c r="P303" s="68"/>
      <c r="Q303" s="416" t="s">
        <v>457</v>
      </c>
      <c r="R303" s="417">
        <f>if(and('WAP for Y-AXIS Walls'!D183="Légère",'WAP for Y-AXIS Walls'!E181="Niveau supérieur"),0.05,0.05)</f>
        <v>0.05</v>
      </c>
      <c r="S303" s="71" t="s">
        <v>458</v>
      </c>
      <c r="T303" s="68"/>
      <c r="U303" s="68"/>
      <c r="V303" s="68"/>
      <c r="W303" s="68"/>
      <c r="Y303" s="68"/>
    </row>
    <row r="304">
      <c r="F304" s="416" t="s">
        <v>460</v>
      </c>
      <c r="G304" s="75">
        <v>1.1</v>
      </c>
      <c r="H304" s="71" t="s">
        <v>461</v>
      </c>
      <c r="I304" s="68"/>
      <c r="J304" s="68"/>
      <c r="L304" s="68"/>
      <c r="P304" s="68"/>
      <c r="Q304" s="416" t="s">
        <v>460</v>
      </c>
      <c r="R304" s="86">
        <v>1.0</v>
      </c>
      <c r="S304" s="71" t="s">
        <v>461</v>
      </c>
      <c r="T304" s="68"/>
      <c r="U304" s="68"/>
      <c r="V304" s="68"/>
      <c r="W304" s="68"/>
      <c r="Y304" s="68"/>
    </row>
    <row r="305">
      <c r="F305" s="416" t="s">
        <v>457</v>
      </c>
      <c r="G305" s="418">
        <f>G303*G304</f>
        <v>0.055</v>
      </c>
      <c r="H305" s="80" t="s">
        <v>463</v>
      </c>
      <c r="I305" s="43"/>
      <c r="J305" s="68"/>
      <c r="L305" s="68"/>
      <c r="P305" s="68"/>
      <c r="Q305" s="416" t="s">
        <v>457</v>
      </c>
      <c r="R305" s="418">
        <f>R303*R304</f>
        <v>0.05</v>
      </c>
      <c r="S305" s="80" t="s">
        <v>463</v>
      </c>
      <c r="T305" s="43"/>
      <c r="U305" s="68"/>
      <c r="V305" s="68"/>
      <c r="W305" s="68"/>
      <c r="Y305" s="68"/>
    </row>
    <row r="306">
      <c r="F306" s="419" t="s">
        <v>465</v>
      </c>
      <c r="G306" s="82">
        <f>if('WAP for Y-AXIS Walls'!D183="Légère",lookup('WAP for Y-AXIS Walls'!D179,Reference!$B$37:$B$42,Reference!$K$37:$K$42),1)</f>
        <v>1</v>
      </c>
      <c r="H306" s="71" t="s">
        <v>466</v>
      </c>
      <c r="I306" s="68"/>
      <c r="J306" s="68"/>
      <c r="L306" s="68"/>
      <c r="P306" s="68"/>
      <c r="Q306" s="419" t="s">
        <v>465</v>
      </c>
      <c r="R306" s="82">
        <f>if('WAP for Y-AXIS Walls'!D183="Légère",lookup('WAP for Y-AXIS Walls'!D179,Reference!$B$37:$B$42,Reference!$K$37:$K$42),1)</f>
        <v>1</v>
      </c>
      <c r="S306" s="71" t="s">
        <v>466</v>
      </c>
      <c r="T306" s="68"/>
      <c r="U306" s="68"/>
      <c r="V306" s="68"/>
      <c r="W306" s="68"/>
      <c r="Y306" s="68"/>
    </row>
    <row r="307">
      <c r="E307" s="68"/>
      <c r="F307" s="68"/>
      <c r="G307" s="68"/>
      <c r="H307" s="68"/>
      <c r="I307" s="68"/>
      <c r="J307" s="68"/>
      <c r="K307" s="68"/>
      <c r="L307" s="68"/>
      <c r="Q307" s="68"/>
      <c r="R307" s="68"/>
      <c r="S307" s="68"/>
      <c r="T307" s="68"/>
      <c r="U307" s="68"/>
      <c r="V307" s="68"/>
      <c r="W307" s="68"/>
      <c r="X307" s="68"/>
      <c r="Y307" s="68"/>
    </row>
    <row r="308">
      <c r="E308" s="421" t="s">
        <v>467</v>
      </c>
      <c r="F308" s="364"/>
      <c r="G308" s="364"/>
      <c r="H308" s="364"/>
      <c r="I308" s="68"/>
      <c r="J308" s="68"/>
      <c r="N308" s="68"/>
      <c r="O308" s="421" t="s">
        <v>468</v>
      </c>
      <c r="P308" s="422"/>
      <c r="Q308" s="422"/>
      <c r="R308" s="364"/>
      <c r="S308" s="48"/>
      <c r="T308" s="82"/>
      <c r="U308" s="68"/>
      <c r="V308" s="68"/>
      <c r="W308" s="68"/>
      <c r="X308" s="68"/>
      <c r="Y308" s="68"/>
    </row>
    <row r="309">
      <c r="E309" s="68"/>
      <c r="F309" s="48"/>
      <c r="G309" s="48"/>
      <c r="H309" s="82"/>
      <c r="I309" s="68"/>
      <c r="J309" s="68"/>
      <c r="K309" s="68"/>
      <c r="L309" s="68"/>
      <c r="Q309" s="68"/>
      <c r="R309" s="68"/>
      <c r="S309" s="68"/>
      <c r="T309" s="68"/>
      <c r="U309" s="48"/>
      <c r="V309" s="68"/>
      <c r="W309" s="68"/>
      <c r="X309" s="68"/>
      <c r="Y309" s="68"/>
    </row>
    <row r="310">
      <c r="F310" s="423" t="s">
        <v>469</v>
      </c>
      <c r="G310" s="384">
        <f>G305</f>
        <v>0.055</v>
      </c>
      <c r="H310" s="80" t="s">
        <v>512</v>
      </c>
      <c r="I310" s="68"/>
      <c r="J310" s="68"/>
      <c r="K310" s="68"/>
      <c r="L310" s="68"/>
      <c r="Q310" s="423" t="s">
        <v>471</v>
      </c>
      <c r="R310" s="384">
        <f>R305</f>
        <v>0.05</v>
      </c>
      <c r="S310" s="26" t="s">
        <v>512</v>
      </c>
      <c r="T310" s="68"/>
      <c r="U310" s="68"/>
      <c r="V310" s="68"/>
      <c r="W310" s="68"/>
      <c r="X310" s="68"/>
      <c r="Y310" s="68"/>
    </row>
    <row r="311">
      <c r="F311" s="416" t="s">
        <v>472</v>
      </c>
      <c r="G311" s="387">
        <f>G310*$D$8</f>
        <v>0.803</v>
      </c>
      <c r="H311" s="43" t="s">
        <v>84</v>
      </c>
      <c r="I311" s="71" t="s">
        <v>473</v>
      </c>
      <c r="J311" s="68"/>
      <c r="K311" s="68"/>
      <c r="Q311" s="416" t="s">
        <v>472</v>
      </c>
      <c r="R311" s="387">
        <f>-R310*$D$8</f>
        <v>-0.73</v>
      </c>
      <c r="S311" s="43" t="s">
        <v>84</v>
      </c>
      <c r="T311" s="68"/>
      <c r="U311" s="68"/>
      <c r="V311" s="68"/>
      <c r="W311" s="68"/>
      <c r="X311" s="68"/>
      <c r="Y311" s="68"/>
    </row>
    <row r="312">
      <c r="F312" s="419" t="s">
        <v>475</v>
      </c>
      <c r="G312" s="97">
        <f>G259+G311</f>
        <v>8.003</v>
      </c>
      <c r="H312" s="71" t="s">
        <v>476</v>
      </c>
      <c r="I312" s="71"/>
      <c r="J312" s="71"/>
      <c r="K312" s="68"/>
      <c r="Q312" s="419" t="s">
        <v>475</v>
      </c>
      <c r="R312" s="97">
        <f>G259+R311</f>
        <v>6.47</v>
      </c>
      <c r="S312" s="71" t="s">
        <v>477</v>
      </c>
      <c r="T312" s="68"/>
      <c r="U312" s="68"/>
      <c r="V312" s="68"/>
      <c r="W312" s="68"/>
      <c r="X312" s="68"/>
      <c r="Y312" s="68"/>
    </row>
    <row r="313">
      <c r="E313" s="448"/>
      <c r="F313" s="419" t="s">
        <v>478</v>
      </c>
      <c r="G313" s="135">
        <f>G312-G257</f>
        <v>1.342276131</v>
      </c>
      <c r="H313" s="80" t="s">
        <v>513</v>
      </c>
      <c r="I313" s="71"/>
      <c r="J313" s="68"/>
      <c r="K313" s="68"/>
      <c r="O313" s="448"/>
      <c r="P313" s="448"/>
      <c r="Q313" s="419" t="s">
        <v>478</v>
      </c>
      <c r="R313" s="135">
        <f>R312-G257</f>
        <v>-0.190723869</v>
      </c>
      <c r="S313" s="80" t="s">
        <v>513</v>
      </c>
      <c r="T313" s="68"/>
      <c r="U313" s="68"/>
      <c r="V313" s="68"/>
      <c r="W313" s="68"/>
      <c r="X313" s="68"/>
      <c r="Y313" s="68"/>
    </row>
    <row r="314">
      <c r="F314" s="416" t="s">
        <v>514</v>
      </c>
      <c r="G314" s="429">
        <f>G313/D224</f>
        <v>0.0919367213</v>
      </c>
      <c r="H314" s="71" t="s">
        <v>514</v>
      </c>
      <c r="I314" s="71"/>
      <c r="J314" s="68"/>
      <c r="K314" s="68"/>
      <c r="Q314" s="428"/>
      <c r="R314" s="429">
        <f>R313/D224</f>
        <v>-0.0130632787</v>
      </c>
      <c r="S314" s="71" t="s">
        <v>514</v>
      </c>
      <c r="T314" s="68"/>
      <c r="U314" s="68"/>
      <c r="V314" s="68"/>
      <c r="W314" s="68"/>
      <c r="X314" s="68"/>
      <c r="Y314" s="68"/>
    </row>
    <row r="315">
      <c r="C315" s="31"/>
      <c r="F315" s="419" t="s">
        <v>480</v>
      </c>
      <c r="G315" s="385">
        <f>'WAP for Y-AXIS Walls'!I239</f>
        <v>236.7617472</v>
      </c>
      <c r="H315" s="71" t="s">
        <v>199</v>
      </c>
      <c r="I315" s="26"/>
      <c r="L315" s="68"/>
      <c r="M315" s="68"/>
      <c r="Q315" s="419" t="s">
        <v>480</v>
      </c>
      <c r="R315" s="385">
        <f>'WAP for Y-AXIS Walls'!I239</f>
        <v>236.7617472</v>
      </c>
      <c r="S315" s="71" t="s">
        <v>199</v>
      </c>
      <c r="T315" s="71"/>
      <c r="U315" s="68"/>
      <c r="V315" s="68"/>
      <c r="W315" s="68"/>
      <c r="X315" s="68"/>
      <c r="Y315" s="68"/>
    </row>
    <row r="316">
      <c r="C316" s="31"/>
      <c r="F316" s="419" t="s">
        <v>481</v>
      </c>
      <c r="G316" s="385">
        <f>G306*G315*G313</f>
        <v>317.799642</v>
      </c>
      <c r="H316" s="71" t="s">
        <v>482</v>
      </c>
      <c r="I316" s="26" t="s">
        <v>483</v>
      </c>
      <c r="L316" s="374" t="str">
        <f>if(H316&lt;0,"Dans le sens inverse des aiguilles d'une montre","dans le sens des aiguilles d'une montre")</f>
        <v>dans le sens des aiguilles d'une montre</v>
      </c>
      <c r="M316" s="68"/>
      <c r="Q316" s="419" t="s">
        <v>481</v>
      </c>
      <c r="R316" s="385">
        <f>R306*'WAP for Y-AXIS Walls'!I239*R313</f>
        <v>-45.15611645</v>
      </c>
      <c r="S316" s="427" t="s">
        <v>482</v>
      </c>
      <c r="T316" s="374" t="str">
        <f>if(R316&lt;0,"Dans le sens inverse des aiguilles d'une montre","Dans le sens des aiguilles d'une montre")</f>
        <v>Dans le sens inverse des aiguilles d'une montre</v>
      </c>
      <c r="U316" s="68"/>
      <c r="V316" s="68"/>
      <c r="W316" s="68"/>
      <c r="X316" s="68"/>
      <c r="Y316" s="68"/>
    </row>
    <row r="317">
      <c r="F317" s="423" t="s">
        <v>484</v>
      </c>
      <c r="G317" s="432">
        <f>G316/U250</f>
        <v>0.0001598836012</v>
      </c>
      <c r="H317" s="71" t="s">
        <v>485</v>
      </c>
      <c r="I317" s="26" t="s">
        <v>486</v>
      </c>
      <c r="K317" s="71"/>
      <c r="L317" s="65" t="s">
        <v>535</v>
      </c>
      <c r="M317" s="68"/>
      <c r="Q317" s="423" t="s">
        <v>484</v>
      </c>
      <c r="R317" s="432">
        <f>R316/U250</f>
        <v>-0.00002271784345</v>
      </c>
      <c r="S317" s="80" t="s">
        <v>485</v>
      </c>
      <c r="T317" s="71"/>
      <c r="U317" s="68"/>
      <c r="V317" s="68"/>
      <c r="W317" s="68"/>
      <c r="X317" s="68"/>
      <c r="Y317" s="68"/>
    </row>
    <row r="318">
      <c r="E318" s="68"/>
      <c r="F318" s="433"/>
      <c r="G318" s="433">
        <f>G317/2*pi()*360</f>
        <v>0.09041204647</v>
      </c>
      <c r="H318" s="71" t="s">
        <v>488</v>
      </c>
      <c r="I318" s="114" t="s">
        <v>516</v>
      </c>
      <c r="K318" s="114"/>
      <c r="L318" s="68"/>
      <c r="M318" s="68"/>
      <c r="Q318" s="68"/>
      <c r="R318" s="433">
        <f>R317/2*pi()*360</f>
        <v>-0.01284663782</v>
      </c>
      <c r="S318" s="71" t="s">
        <v>488</v>
      </c>
      <c r="T318" s="71"/>
      <c r="U318" s="68"/>
      <c r="V318" s="68"/>
      <c r="W318" s="68"/>
      <c r="X318" s="68"/>
      <c r="Y318" s="68"/>
    </row>
    <row r="319">
      <c r="C319" s="68"/>
      <c r="D319" s="68"/>
      <c r="E319" s="68"/>
      <c r="F319" s="68"/>
      <c r="G319" s="68"/>
      <c r="H319" s="68"/>
      <c r="K319" s="114"/>
      <c r="L319" s="68"/>
      <c r="M319" s="68"/>
      <c r="N319" s="68"/>
      <c r="O319" s="68"/>
      <c r="P319" s="68"/>
      <c r="Q319" s="68"/>
      <c r="R319" s="68"/>
      <c r="S319" s="68"/>
      <c r="T319" s="68"/>
      <c r="U319" s="68"/>
      <c r="V319" s="68"/>
      <c r="W319" s="68"/>
      <c r="X319" s="68"/>
      <c r="Y319" s="68"/>
    </row>
    <row r="320">
      <c r="C320" s="68"/>
      <c r="D320" s="68"/>
      <c r="E320" s="68"/>
      <c r="F320" s="68"/>
      <c r="G320" s="68"/>
      <c r="H320" s="68"/>
      <c r="I320" s="68"/>
      <c r="J320" s="68"/>
      <c r="K320" s="68"/>
      <c r="L320" s="68"/>
      <c r="M320" s="68"/>
      <c r="N320" s="68"/>
      <c r="O320" s="68"/>
      <c r="P320" s="68"/>
      <c r="Q320" s="68"/>
      <c r="R320" s="68"/>
      <c r="S320" s="68"/>
      <c r="T320" s="68"/>
      <c r="U320" s="68"/>
      <c r="V320" s="68"/>
      <c r="W320" s="68"/>
      <c r="X320" s="68"/>
      <c r="Y320" s="68"/>
    </row>
  </sheetData>
  <mergeCells count="4">
    <mergeCell ref="B15:C15"/>
    <mergeCell ref="E95:F95"/>
    <mergeCell ref="B122:C122"/>
    <mergeCell ref="B231:C231"/>
  </mergeCells>
  <conditionalFormatting sqref="A1:A5 B1:I9 J1:J5 K1:K11 L1:L12 M1:M13 N1:N12 O1:R5 A7:A9 J7:J9 O7 O9:O11 O13 B15:I56 J15:J32 K15:M29 J36:J56 K38:L56 M44:O56 A52:A56 P52:S56 B80:F101 G80:G100 H80:I101 J80:J81 K80:R101 S80:S81 J83:J84 S83:S101 T84:U100 V84 J86:J101 V86:V90 V92:V93 V95 V97:V99 E104:F118 A106:A112 B106:D116 G106:I116 J106:J112 K106:K118 L106:N119 O106:R112 A114:A116 J114:J116 O114 O116:O119 B122:I163 J122:L141 M122:M139 J143:J163 K145:L163 M151:O163 A159:A163 P159:S163 B188:E210 F188:G209 H188:I210 J188:J189 K188:O210 P188:R209 J191:J192 S191:S192 A192:A210 J194:J210 S194:U209 A215:A221 B215:D225 E215:F227 G215:I225 J215:J221 K215:K227 L215:N228 O215:R221 A223:A225 J223:J225 O223 O225:O228 B231:I272 J231:L250 M231:M248 J252:J272 K254:L272 M260:O272 A268:A272 P268:S272 B297:E319 F297:G318 H297:I319 J297:J298 K297:O319 P297:R318 J300:J301 S300:S301 A301:A319 J303:J319 S303:U318">
    <cfRule type="expression" dxfId="0" priority="1" stopIfTrue="1">
      <formula>NOT(#REF!)</formula>
    </cfRule>
  </conditionalFormatting>
  <conditionalFormatting sqref="A1:A5 B1:I9 J1:J5 K1:K11 L1:L12 M1:M13 N1:N12 O1:R5 A7:A9 J7:J9 O7 O9:O11 O13 B15:I56 J15:J32 K15:M29 J36:J56 K38:L56 M44:O56 A52:A56 P52:S56 B80:F101 G80:G100 H80:I101 J80:J81 K80:R101 S80:S81 J83:J84 S83:S101 T84:U100 V84 J86:J101 V86:V90 V92:V93 V95 V97:V99 E104:F118 A106:A112 B106:D116 G106:I116 J106:J112 K106:K118 L106:N119 O106:R112 A114:A116 J114:J116 O114 O116:O119 B122:I163 J122:L141 M122:M139 J143:J163 K145:L163 M151:O163 A159:A163 P159:S163 B188:E210 F188:G209 H188:I210 J188:J189 K188:O210 P188:R209 J191:J192 S191:S192 A192:A210 J194:J210 S194:U209 A215:A221 B215:D225 E215:F227 G215:I225 J215:J221 K215:K227 L215:N228 O215:R221 A223:A225 J223:J225 O223 O225:O228 B231:I272 J231:L250 M231:M248 J252:J272 K254:L272 M260:O272 A268:A272 P268:S272 B297:E319 F297:G318 H297:I319 J297:J298 K297:O319 P297:R318 J300:J301 S300:S301 A301:A319 J303:J319 S303:U318">
    <cfRule type="expression" dxfId="1" priority="2">
      <formula>CELL("protect", INDIRECT(ADDRESS(ROW(),COLUMN())))=1</formula>
    </cfRule>
  </conditionalFormatting>
  <printOptions/>
  <pageMargins bottom="0.5" footer="0.0" header="0.0" left="0.5" right="0.5" top="1.0"/>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0"/>
    <col customWidth="1" min="2" max="2" width="12.43"/>
    <col customWidth="1" min="3" max="3" width="11.0"/>
    <col customWidth="1" min="4" max="4" width="9.0"/>
    <col customWidth="1" min="5" max="5" width="12.86"/>
    <col customWidth="1" min="6" max="6" width="12.14"/>
    <col customWidth="1" min="7" max="7" width="10.29"/>
    <col customWidth="1" min="8" max="8" width="11.0"/>
    <col customWidth="1" min="9" max="9" width="12.43"/>
    <col customWidth="1" min="10" max="10" width="11.14"/>
    <col customWidth="1" min="11" max="11" width="11.43"/>
    <col customWidth="1" min="12" max="12" width="16.29"/>
    <col customWidth="1" min="13" max="13" width="10.29"/>
    <col customWidth="1" min="14" max="14" width="9.86"/>
    <col customWidth="1" min="15" max="15" width="12.14"/>
    <col customWidth="1" min="16" max="17" width="12.57"/>
    <col customWidth="1" min="18" max="18" width="10.0"/>
    <col customWidth="1" min="19" max="19" width="14.0"/>
    <col customWidth="1" min="20" max="20" width="14.14"/>
    <col customWidth="1" min="21" max="21" width="10.0"/>
    <col customWidth="1" min="22" max="22" width="7.57"/>
    <col customWidth="1" min="23" max="23" width="6.86"/>
  </cols>
  <sheetData>
    <row r="1">
      <c r="A1" s="47"/>
      <c r="B1" s="224"/>
      <c r="C1" s="246"/>
      <c r="D1" s="224"/>
      <c r="E1" s="224"/>
      <c r="F1" s="224"/>
      <c r="G1" s="224"/>
      <c r="H1" s="224"/>
      <c r="I1" s="224"/>
      <c r="J1" s="224"/>
      <c r="K1" s="224"/>
      <c r="L1" s="224"/>
      <c r="M1" s="224"/>
      <c r="N1" s="288"/>
      <c r="O1" s="224"/>
      <c r="P1" s="224"/>
      <c r="Q1" s="47"/>
    </row>
    <row r="2">
      <c r="A2" s="47"/>
      <c r="B2" s="49" t="s">
        <v>75</v>
      </c>
      <c r="C2" s="50"/>
      <c r="D2" s="51"/>
      <c r="E2" s="51"/>
      <c r="F2" s="51"/>
      <c r="G2" s="51"/>
      <c r="H2" s="51"/>
      <c r="I2" s="51"/>
      <c r="J2" s="51"/>
      <c r="K2" s="51"/>
      <c r="L2" s="51"/>
      <c r="M2" s="51"/>
      <c r="N2" s="52" t="s">
        <v>76</v>
      </c>
      <c r="O2" s="52"/>
      <c r="P2" s="51"/>
      <c r="Q2" s="51"/>
      <c r="R2" s="68"/>
      <c r="S2" s="68"/>
      <c r="T2" s="68"/>
      <c r="U2" s="68"/>
      <c r="V2" s="68"/>
      <c r="W2" s="68"/>
    </row>
    <row r="3">
      <c r="A3" s="47"/>
      <c r="B3" s="49" t="s">
        <v>77</v>
      </c>
      <c r="C3" s="55" t="s">
        <v>78</v>
      </c>
      <c r="D3" s="56"/>
      <c r="E3" s="51"/>
      <c r="F3" s="51"/>
      <c r="G3" s="51"/>
      <c r="H3" s="51"/>
      <c r="I3" s="51"/>
      <c r="J3" s="51"/>
      <c r="K3" s="51"/>
      <c r="L3" s="51"/>
      <c r="M3" s="51"/>
      <c r="N3" s="57" t="s">
        <v>79</v>
      </c>
      <c r="O3" s="57"/>
      <c r="P3" s="51"/>
      <c r="Q3" s="51"/>
      <c r="R3" s="68"/>
      <c r="S3" s="68"/>
      <c r="T3" s="68"/>
      <c r="U3" s="68"/>
      <c r="V3" s="68"/>
      <c r="W3" s="68"/>
    </row>
    <row r="4" ht="15.75" customHeight="1">
      <c r="A4" s="47"/>
      <c r="B4" s="51"/>
      <c r="C4" s="52"/>
      <c r="D4" s="56"/>
      <c r="E4" s="51"/>
      <c r="F4" s="51"/>
      <c r="G4" s="51"/>
      <c r="H4" s="51"/>
      <c r="I4" s="51"/>
      <c r="J4" s="51"/>
      <c r="K4" s="51"/>
      <c r="L4" s="51"/>
      <c r="M4" s="51"/>
      <c r="N4" s="57" t="s">
        <v>80</v>
      </c>
      <c r="O4" s="57"/>
      <c r="P4" s="51"/>
      <c r="Q4" s="51"/>
      <c r="R4" s="68"/>
      <c r="S4" s="68"/>
      <c r="T4" s="68"/>
      <c r="U4" s="68"/>
      <c r="V4" s="68"/>
      <c r="W4" s="68"/>
    </row>
    <row r="5" ht="16.5" customHeight="1">
      <c r="A5" s="33"/>
      <c r="B5" s="43"/>
      <c r="C5" s="45"/>
      <c r="D5" s="43"/>
      <c r="E5" s="43"/>
      <c r="F5" s="43"/>
      <c r="G5" s="43"/>
      <c r="H5" s="43"/>
      <c r="I5" s="43"/>
      <c r="J5" s="43"/>
      <c r="K5" s="43"/>
      <c r="L5" s="43"/>
      <c r="M5" s="43"/>
      <c r="N5" s="43"/>
      <c r="O5" s="43"/>
      <c r="P5" s="43"/>
      <c r="Q5" s="43"/>
      <c r="R5" s="68"/>
      <c r="S5" s="68"/>
      <c r="T5" s="68"/>
      <c r="U5" s="68"/>
      <c r="V5" s="68"/>
      <c r="W5" s="68"/>
    </row>
    <row r="6">
      <c r="B6" s="68"/>
      <c r="C6" s="68"/>
      <c r="D6" s="68"/>
      <c r="E6" s="68"/>
      <c r="F6" s="68"/>
      <c r="G6" s="68"/>
      <c r="H6" s="68"/>
      <c r="I6" s="68"/>
      <c r="J6" s="289"/>
      <c r="K6" s="184"/>
      <c r="L6" s="290"/>
      <c r="M6" s="184"/>
      <c r="N6" s="68"/>
      <c r="O6" s="68"/>
      <c r="P6" s="68"/>
      <c r="Q6" s="68"/>
      <c r="R6" s="68"/>
      <c r="S6" s="68"/>
      <c r="T6" s="68"/>
      <c r="U6" s="68"/>
      <c r="V6" s="68"/>
      <c r="W6" s="68"/>
    </row>
    <row r="7" ht="15.75" customHeight="1">
      <c r="A7" s="67"/>
      <c r="B7" s="43"/>
      <c r="C7" s="70" t="s">
        <v>86</v>
      </c>
      <c r="D7" s="276">
        <f>'WAP for Y-AXIS Walls'!P7</f>
        <v>54.02</v>
      </c>
      <c r="E7" s="71" t="s">
        <v>87</v>
      </c>
      <c r="F7" s="71" t="s">
        <v>258</v>
      </c>
      <c r="G7" s="68"/>
      <c r="H7" s="68"/>
      <c r="I7" s="68"/>
      <c r="J7" s="291"/>
      <c r="K7" s="292"/>
      <c r="L7" s="290"/>
      <c r="M7" s="293"/>
      <c r="N7" s="68"/>
      <c r="O7" s="68"/>
      <c r="P7" s="68"/>
      <c r="Q7" s="68"/>
      <c r="R7" s="68"/>
      <c r="S7" s="68"/>
      <c r="T7" s="68"/>
      <c r="U7" s="68"/>
      <c r="V7" s="68"/>
      <c r="W7" s="68"/>
    </row>
    <row r="8" ht="17.25" customHeight="1">
      <c r="A8" s="189"/>
      <c r="B8" s="43"/>
      <c r="C8" s="77" t="s">
        <v>259</v>
      </c>
      <c r="D8" s="276">
        <f>'WAP for Y-AXIS Walls'!P8</f>
        <v>14.6</v>
      </c>
      <c r="E8" s="71" t="s">
        <v>84</v>
      </c>
      <c r="F8" s="71" t="s">
        <v>260</v>
      </c>
      <c r="G8" s="68"/>
      <c r="H8" s="68"/>
      <c r="I8" s="68"/>
      <c r="J8" s="294"/>
      <c r="K8" s="187"/>
      <c r="L8" s="295"/>
      <c r="M8" s="185"/>
      <c r="N8" s="68"/>
      <c r="O8" s="68"/>
      <c r="P8" s="68"/>
      <c r="Q8" s="68"/>
      <c r="R8" s="68"/>
      <c r="S8" s="68"/>
      <c r="T8" s="68"/>
      <c r="U8" s="68"/>
      <c r="V8" s="68"/>
      <c r="W8" s="68"/>
    </row>
    <row r="9">
      <c r="A9" s="189"/>
      <c r="B9" s="43"/>
      <c r="C9" s="77" t="s">
        <v>261</v>
      </c>
      <c r="D9" s="276">
        <f>'WAP for Y-AXIS Walls'!P9</f>
        <v>3.7</v>
      </c>
      <c r="E9" s="71" t="s">
        <v>87</v>
      </c>
      <c r="F9" s="71" t="s">
        <v>262</v>
      </c>
      <c r="G9" s="68"/>
      <c r="H9" s="68"/>
      <c r="I9" s="68"/>
      <c r="J9" s="294"/>
      <c r="K9" s="187"/>
      <c r="L9" s="153"/>
      <c r="M9" s="185"/>
      <c r="N9" s="68"/>
      <c r="O9" s="68"/>
      <c r="P9" s="68"/>
      <c r="Q9" s="68"/>
      <c r="R9" s="68"/>
      <c r="S9" s="68"/>
      <c r="T9" s="68"/>
      <c r="U9" s="68"/>
      <c r="V9" s="68"/>
      <c r="W9" s="68"/>
    </row>
    <row r="10" ht="31.5" customHeight="1">
      <c r="B10" s="68"/>
      <c r="C10" s="68"/>
      <c r="D10" s="68"/>
      <c r="E10" s="68"/>
      <c r="F10" s="68"/>
      <c r="G10" s="68"/>
      <c r="H10" s="68"/>
      <c r="I10" s="68"/>
      <c r="J10" s="184"/>
      <c r="K10" s="98" t="s">
        <v>111</v>
      </c>
      <c r="L10" s="296"/>
      <c r="M10" s="296"/>
      <c r="N10" s="68"/>
      <c r="O10" s="68"/>
      <c r="P10" s="68"/>
      <c r="Q10" s="68"/>
      <c r="R10" s="68"/>
      <c r="S10" s="68"/>
      <c r="T10" s="68"/>
      <c r="U10" s="68"/>
      <c r="V10" s="68"/>
      <c r="W10" s="68"/>
    </row>
    <row r="11">
      <c r="B11" s="68"/>
      <c r="C11" s="68"/>
      <c r="D11" s="68"/>
      <c r="E11" s="68"/>
      <c r="F11" s="68"/>
      <c r="G11" s="68"/>
      <c r="H11" s="68"/>
      <c r="I11" s="68"/>
      <c r="J11" s="68"/>
      <c r="N11" s="68"/>
      <c r="O11" s="68"/>
      <c r="P11" s="68"/>
      <c r="Q11" s="68"/>
      <c r="R11" s="68"/>
      <c r="S11" s="68"/>
      <c r="T11" s="68"/>
      <c r="U11" s="68"/>
      <c r="V11" s="68"/>
      <c r="W11" s="68"/>
    </row>
    <row r="12" ht="18.0" customHeight="1">
      <c r="B12" s="68"/>
      <c r="C12" s="68"/>
      <c r="D12" s="68"/>
      <c r="E12" s="68"/>
      <c r="F12" s="68"/>
      <c r="G12" s="68"/>
      <c r="H12" s="68"/>
      <c r="I12" s="68"/>
      <c r="J12" s="291"/>
      <c r="K12" s="297"/>
      <c r="L12" s="298"/>
      <c r="M12" s="293"/>
      <c r="O12" s="68"/>
      <c r="P12" s="68"/>
      <c r="Q12" s="68"/>
      <c r="R12" s="68"/>
      <c r="S12" s="68"/>
      <c r="T12" s="68"/>
      <c r="U12" s="68"/>
      <c r="V12" s="68"/>
      <c r="W12" s="68"/>
    </row>
    <row r="13">
      <c r="B13" s="68"/>
      <c r="C13" s="68"/>
      <c r="D13" s="68"/>
      <c r="E13" s="68"/>
      <c r="F13" s="68"/>
      <c r="G13" s="68"/>
      <c r="H13" s="68"/>
      <c r="I13" s="68"/>
      <c r="J13" s="291"/>
      <c r="K13" s="291"/>
      <c r="L13" s="293"/>
      <c r="M13" s="291"/>
      <c r="N13" s="68"/>
      <c r="O13" s="68"/>
      <c r="P13" s="68"/>
      <c r="Q13" s="68"/>
      <c r="R13" s="68"/>
      <c r="S13" s="68"/>
      <c r="T13" s="68"/>
      <c r="U13" s="68"/>
      <c r="V13" s="68"/>
      <c r="W13" s="68"/>
    </row>
    <row r="14" ht="17.25" customHeight="1">
      <c r="B14" s="68"/>
      <c r="C14" s="68"/>
      <c r="D14" s="68"/>
      <c r="E14" s="68"/>
      <c r="F14" s="68"/>
      <c r="G14" s="68"/>
      <c r="H14" s="68"/>
      <c r="I14" s="68"/>
      <c r="J14" s="68"/>
      <c r="K14" s="68"/>
      <c r="L14" s="68"/>
      <c r="M14" s="68"/>
      <c r="N14" s="68"/>
      <c r="O14" s="68"/>
      <c r="P14" s="68"/>
      <c r="Q14" s="68"/>
      <c r="R14" s="68"/>
      <c r="S14" s="68"/>
      <c r="T14" s="68"/>
      <c r="U14" s="68"/>
      <c r="V14" s="68"/>
      <c r="W14" s="68"/>
    </row>
    <row r="15" ht="47.25" customHeight="1">
      <c r="B15" s="299" t="s">
        <v>266</v>
      </c>
      <c r="C15" s="300"/>
      <c r="D15" s="301" t="s">
        <v>267</v>
      </c>
      <c r="E15" s="100" t="s">
        <v>120</v>
      </c>
      <c r="F15" s="101" t="s">
        <v>121</v>
      </c>
      <c r="G15" s="302" t="s">
        <v>268</v>
      </c>
      <c r="H15" s="302" t="s">
        <v>269</v>
      </c>
      <c r="I15" s="101" t="s">
        <v>270</v>
      </c>
      <c r="J15" s="101" t="s">
        <v>271</v>
      </c>
      <c r="K15" s="101" t="s">
        <v>272</v>
      </c>
      <c r="L15" s="303" t="s">
        <v>273</v>
      </c>
      <c r="M15" s="304" t="s">
        <v>274</v>
      </c>
      <c r="N15" s="101" t="s">
        <v>275</v>
      </c>
      <c r="O15" s="303" t="s">
        <v>276</v>
      </c>
      <c r="P15" s="302" t="s">
        <v>277</v>
      </c>
      <c r="Q15" s="303" t="s">
        <v>278</v>
      </c>
      <c r="R15" s="101" t="s">
        <v>276</v>
      </c>
      <c r="S15" s="303"/>
      <c r="T15" s="303" t="s">
        <v>279</v>
      </c>
      <c r="U15" s="305" t="s">
        <v>280</v>
      </c>
      <c r="V15" s="68"/>
      <c r="W15" s="291"/>
      <c r="X15" s="68"/>
    </row>
    <row r="16" ht="15.75" customHeight="1">
      <c r="B16" s="113" t="s">
        <v>285</v>
      </c>
      <c r="C16" s="115" t="s">
        <v>286</v>
      </c>
      <c r="D16" s="115" t="s">
        <v>287</v>
      </c>
      <c r="E16" s="306" t="s">
        <v>288</v>
      </c>
      <c r="F16" s="115" t="s">
        <v>186</v>
      </c>
      <c r="G16" s="111" t="s">
        <v>289</v>
      </c>
      <c r="H16" s="111" t="s">
        <v>290</v>
      </c>
      <c r="I16" s="111" t="s">
        <v>291</v>
      </c>
      <c r="J16" s="111" t="s">
        <v>140</v>
      </c>
      <c r="K16" s="111" t="s">
        <v>292</v>
      </c>
      <c r="L16" s="115" t="s">
        <v>293</v>
      </c>
      <c r="M16" s="115" t="s">
        <v>294</v>
      </c>
      <c r="N16" s="111" t="s">
        <v>295</v>
      </c>
      <c r="O16" s="111" t="s">
        <v>296</v>
      </c>
      <c r="P16" s="111" t="s">
        <v>297</v>
      </c>
      <c r="Q16" s="111" t="s">
        <v>298</v>
      </c>
      <c r="R16" s="111" t="s">
        <v>299</v>
      </c>
      <c r="S16" s="115" t="s">
        <v>300</v>
      </c>
      <c r="T16" s="307" t="s">
        <v>301</v>
      </c>
      <c r="U16" s="112" t="s">
        <v>302</v>
      </c>
      <c r="V16" s="68"/>
      <c r="W16" s="293"/>
      <c r="X16" s="68"/>
    </row>
    <row r="17" ht="16.5" customHeight="1">
      <c r="B17" s="113" t="s">
        <v>307</v>
      </c>
      <c r="C17" s="115" t="s">
        <v>308</v>
      </c>
      <c r="D17" s="115" t="s">
        <v>309</v>
      </c>
      <c r="E17" s="306" t="s">
        <v>134</v>
      </c>
      <c r="G17" s="111" t="s">
        <v>310</v>
      </c>
      <c r="H17" s="115" t="s">
        <v>311</v>
      </c>
      <c r="I17" s="111" t="s">
        <v>135</v>
      </c>
      <c r="J17" s="111" t="s">
        <v>312</v>
      </c>
      <c r="K17" s="111" t="s">
        <v>313</v>
      </c>
      <c r="L17" s="115" t="s">
        <v>314</v>
      </c>
      <c r="M17" s="115" t="s">
        <v>84</v>
      </c>
      <c r="N17" s="110" t="s">
        <v>315</v>
      </c>
      <c r="O17" s="308" t="s">
        <v>536</v>
      </c>
      <c r="P17" s="111" t="s">
        <v>87</v>
      </c>
      <c r="Q17" s="308" t="s">
        <v>537</v>
      </c>
      <c r="R17" s="111" t="s">
        <v>318</v>
      </c>
      <c r="S17" s="110" t="s">
        <v>319</v>
      </c>
      <c r="T17" s="115" t="s">
        <v>134</v>
      </c>
      <c r="U17" s="309"/>
      <c r="V17" s="68"/>
      <c r="W17" s="293"/>
      <c r="X17" s="68"/>
    </row>
    <row r="18" ht="29.25" customHeight="1">
      <c r="B18" s="126"/>
      <c r="C18" s="121"/>
      <c r="D18" s="310"/>
      <c r="E18" s="126"/>
      <c r="F18" s="311"/>
      <c r="G18" s="125"/>
      <c r="H18" s="125" t="s">
        <v>322</v>
      </c>
      <c r="I18" s="125" t="s">
        <v>323</v>
      </c>
      <c r="J18" s="121" t="s">
        <v>134</v>
      </c>
      <c r="K18" s="121" t="s">
        <v>324</v>
      </c>
      <c r="L18" s="312" t="s">
        <v>538</v>
      </c>
      <c r="M18" s="313" t="s">
        <v>326</v>
      </c>
      <c r="N18" s="314" t="s">
        <v>327</v>
      </c>
      <c r="O18" s="315" t="s">
        <v>328</v>
      </c>
      <c r="P18" s="312" t="s">
        <v>329</v>
      </c>
      <c r="Q18" s="316" t="s">
        <v>330</v>
      </c>
      <c r="R18" s="314" t="s">
        <v>331</v>
      </c>
      <c r="S18" s="317"/>
      <c r="T18" s="317"/>
      <c r="U18" s="318" t="s">
        <v>332</v>
      </c>
      <c r="V18" s="68"/>
      <c r="W18" s="291"/>
      <c r="X18" s="68"/>
    </row>
    <row r="19" ht="20.25" customHeight="1">
      <c r="B19" s="450"/>
      <c r="C19" s="320"/>
      <c r="D19" s="286">
        <v>0.0</v>
      </c>
      <c r="E19" s="451">
        <f>'WAP for X-AXIS Walls'!E25</f>
        <v>0.2</v>
      </c>
      <c r="F19" s="322">
        <f>'WAP for X-AXIS Walls'!F25</f>
        <v>10</v>
      </c>
      <c r="G19" s="452">
        <v>2.9</v>
      </c>
      <c r="H19" s="453">
        <f>0.5*(('WAP for X-AXIS Walls'!F25*145.038)*900)/145.038</f>
        <v>4500</v>
      </c>
      <c r="I19" s="453">
        <f t="shared" ref="I19:I23" si="1">H19*0.4</f>
        <v>1800</v>
      </c>
      <c r="J19" s="454">
        <f>'WAP for X-AXIS Walls'!D25</f>
        <v>1.3</v>
      </c>
      <c r="K19" s="455">
        <f t="shared" ref="K19:K23" si="2">if(J19=0,0,G19/J19)</f>
        <v>2.230769231</v>
      </c>
      <c r="L19" s="456">
        <f>J19*'WAP for X-AXIS Walls'!G25*E19</f>
        <v>0.10764</v>
      </c>
      <c r="M19" s="456">
        <f t="shared" ref="M19:M23" si="3">if(J19=0,0,L19/J19)</f>
        <v>0.0828</v>
      </c>
      <c r="N19" s="457">
        <f t="shared" ref="N19:N23" si="4">M19*J19^3/12</f>
        <v>0.0151593</v>
      </c>
      <c r="O19" s="458">
        <f t="shared" ref="O19:O23" si="5">H19*1000*N19*3/G19^3</f>
        <v>8391.100496</v>
      </c>
      <c r="P19" s="459">
        <f t="shared" ref="P19:P23" si="6">5/6*L19</f>
        <v>0.0897</v>
      </c>
      <c r="Q19" s="458">
        <f t="shared" ref="Q19:Q23" si="7">I19*1000*P19/G19</f>
        <v>55675.86207</v>
      </c>
      <c r="R19" s="458">
        <f t="shared" ref="R19:R23" si="8">IF(OR(Q19=0,O19=0),0,(1/(1/O19+1/Q19)))</f>
        <v>7292.085267</v>
      </c>
      <c r="S19" s="458">
        <f t="shared" ref="S19:S23" si="9">D19*R19</f>
        <v>0</v>
      </c>
      <c r="T19" s="460">
        <f t="shared" ref="T19:T23" si="10">D19-$F$41</f>
        <v>-1.75</v>
      </c>
      <c r="U19" s="461">
        <f t="shared" ref="U19:U23" si="11">R19*T19^2</f>
        <v>22332.01113</v>
      </c>
      <c r="V19" s="68"/>
      <c r="W19" s="293"/>
      <c r="X19" s="68"/>
    </row>
    <row r="20" ht="16.5" customHeight="1">
      <c r="B20" s="450"/>
      <c r="C20" s="320"/>
      <c r="D20" s="286">
        <v>0.0</v>
      </c>
      <c r="E20" s="462">
        <v>0.2</v>
      </c>
      <c r="F20" s="322">
        <f>'WAP for X-AXIS Walls'!F26</f>
        <v>10</v>
      </c>
      <c r="G20" s="295">
        <v>2.9</v>
      </c>
      <c r="H20" s="323">
        <f>0.5*(('WAP for X-AXIS Walls'!F26*145.038)*900)/145.038</f>
        <v>4500</v>
      </c>
      <c r="I20" s="323">
        <f t="shared" si="1"/>
        <v>1800</v>
      </c>
      <c r="J20" s="135">
        <f>'WAP for X-AXIS Walls'!D26</f>
        <v>1.9</v>
      </c>
      <c r="K20" s="324">
        <f t="shared" si="2"/>
        <v>1.526315789</v>
      </c>
      <c r="L20" s="325">
        <f>J20*'WAP for X-AXIS Walls'!G26*E20</f>
        <v>0.15732</v>
      </c>
      <c r="M20" s="325">
        <f t="shared" si="3"/>
        <v>0.0828</v>
      </c>
      <c r="N20" s="326">
        <f t="shared" si="4"/>
        <v>0.0473271</v>
      </c>
      <c r="O20" s="327">
        <f t="shared" si="5"/>
        <v>26196.88589</v>
      </c>
      <c r="P20" s="136">
        <f t="shared" si="6"/>
        <v>0.1311</v>
      </c>
      <c r="Q20" s="327">
        <f t="shared" si="7"/>
        <v>81372.41379</v>
      </c>
      <c r="R20" s="327">
        <f t="shared" si="8"/>
        <v>19817.02814</v>
      </c>
      <c r="S20" s="327">
        <f t="shared" si="9"/>
        <v>0</v>
      </c>
      <c r="T20" s="328">
        <f t="shared" si="10"/>
        <v>-1.75</v>
      </c>
      <c r="U20" s="329">
        <f t="shared" si="11"/>
        <v>60689.64868</v>
      </c>
      <c r="V20" s="68"/>
      <c r="W20" s="291"/>
      <c r="X20" s="68"/>
    </row>
    <row r="21" ht="17.25" customHeight="1">
      <c r="B21" s="463"/>
      <c r="C21" s="320"/>
      <c r="D21" s="152">
        <v>0.0</v>
      </c>
      <c r="E21" s="462">
        <v>0.2</v>
      </c>
      <c r="F21" s="322">
        <f>'WAP for X-AXIS Walls'!F27</f>
        <v>10</v>
      </c>
      <c r="G21" s="295">
        <v>2.9</v>
      </c>
      <c r="H21" s="323">
        <f>0.5*(('WAP for X-AXIS Walls'!F27*145.038)*900)/145.038</f>
        <v>4500</v>
      </c>
      <c r="I21" s="323">
        <f t="shared" si="1"/>
        <v>1800</v>
      </c>
      <c r="J21" s="135">
        <f>'WAP for X-AXIS Walls'!D27</f>
        <v>2</v>
      </c>
      <c r="K21" s="324">
        <f t="shared" si="2"/>
        <v>1.45</v>
      </c>
      <c r="L21" s="325">
        <f>J21*'WAP for X-AXIS Walls'!G27*E21</f>
        <v>0.1656</v>
      </c>
      <c r="M21" s="325">
        <f t="shared" si="3"/>
        <v>0.0828</v>
      </c>
      <c r="N21" s="326">
        <f t="shared" si="4"/>
        <v>0.0552</v>
      </c>
      <c r="O21" s="327">
        <f t="shared" si="5"/>
        <v>30554.75829</v>
      </c>
      <c r="P21" s="136">
        <f t="shared" si="6"/>
        <v>0.138</v>
      </c>
      <c r="Q21" s="327">
        <f t="shared" si="7"/>
        <v>85655.17241</v>
      </c>
      <c r="R21" s="327">
        <f t="shared" si="8"/>
        <v>22521.07951</v>
      </c>
      <c r="S21" s="327">
        <f t="shared" si="9"/>
        <v>0</v>
      </c>
      <c r="T21" s="328">
        <f t="shared" si="10"/>
        <v>-1.75</v>
      </c>
      <c r="U21" s="329">
        <f t="shared" si="11"/>
        <v>68970.80601</v>
      </c>
      <c r="V21" s="68"/>
      <c r="W21" s="291"/>
      <c r="X21" s="68"/>
    </row>
    <row r="22">
      <c r="B22" s="464"/>
      <c r="C22" s="320"/>
      <c r="D22" s="152">
        <v>0.0</v>
      </c>
      <c r="E22" s="462">
        <v>0.2</v>
      </c>
      <c r="F22" s="322">
        <f>'WAP for X-AXIS Walls'!F28</f>
        <v>10</v>
      </c>
      <c r="G22" s="295">
        <v>2.9</v>
      </c>
      <c r="H22" s="323">
        <f>0.5*(('WAP for X-AXIS Walls'!F28*145.038)*900)/145.038</f>
        <v>4500</v>
      </c>
      <c r="I22" s="323">
        <f t="shared" si="1"/>
        <v>1800</v>
      </c>
      <c r="J22" s="135">
        <f>'WAP for X-AXIS Walls'!D28</f>
        <v>1.9</v>
      </c>
      <c r="K22" s="324">
        <f t="shared" si="2"/>
        <v>1.526315789</v>
      </c>
      <c r="L22" s="325">
        <f>J22*'WAP for X-AXIS Walls'!G28*E22</f>
        <v>0.15732</v>
      </c>
      <c r="M22" s="325">
        <f t="shared" si="3"/>
        <v>0.0828</v>
      </c>
      <c r="N22" s="326">
        <f t="shared" si="4"/>
        <v>0.0473271</v>
      </c>
      <c r="O22" s="327">
        <f t="shared" si="5"/>
        <v>26196.88589</v>
      </c>
      <c r="P22" s="136">
        <f t="shared" si="6"/>
        <v>0.1311</v>
      </c>
      <c r="Q22" s="327">
        <f t="shared" si="7"/>
        <v>81372.41379</v>
      </c>
      <c r="R22" s="327">
        <f t="shared" si="8"/>
        <v>19817.02814</v>
      </c>
      <c r="S22" s="327">
        <f t="shared" si="9"/>
        <v>0</v>
      </c>
      <c r="T22" s="328">
        <f t="shared" si="10"/>
        <v>-1.75</v>
      </c>
      <c r="U22" s="329">
        <f t="shared" si="11"/>
        <v>60689.64868</v>
      </c>
      <c r="V22" s="68"/>
      <c r="W22" s="293"/>
      <c r="X22" s="68"/>
    </row>
    <row r="23">
      <c r="B23" s="464"/>
      <c r="C23" s="320"/>
      <c r="D23" s="152">
        <v>0.0</v>
      </c>
      <c r="E23" s="462">
        <v>0.2</v>
      </c>
      <c r="F23" s="322">
        <f>'WAP for X-AXIS Walls'!F29</f>
        <v>10</v>
      </c>
      <c r="G23" s="295">
        <v>2.9</v>
      </c>
      <c r="H23" s="323">
        <f>0.5*(('WAP for X-AXIS Walls'!F29*145.038)*900)/145.038</f>
        <v>4500</v>
      </c>
      <c r="I23" s="323">
        <f t="shared" si="1"/>
        <v>1800</v>
      </c>
      <c r="J23" s="135">
        <f>'WAP for X-AXIS Walls'!D29</f>
        <v>1.3</v>
      </c>
      <c r="K23" s="324">
        <f t="shared" si="2"/>
        <v>2.230769231</v>
      </c>
      <c r="L23" s="325">
        <f>J23*'WAP for X-AXIS Walls'!G29*E23</f>
        <v>0.10764</v>
      </c>
      <c r="M23" s="325">
        <f t="shared" si="3"/>
        <v>0.0828</v>
      </c>
      <c r="N23" s="326">
        <f t="shared" si="4"/>
        <v>0.0151593</v>
      </c>
      <c r="O23" s="327">
        <f t="shared" si="5"/>
        <v>8391.100496</v>
      </c>
      <c r="P23" s="136">
        <f t="shared" si="6"/>
        <v>0.0897</v>
      </c>
      <c r="Q23" s="327">
        <f t="shared" si="7"/>
        <v>55675.86207</v>
      </c>
      <c r="R23" s="327">
        <f t="shared" si="8"/>
        <v>7292.085267</v>
      </c>
      <c r="S23" s="327">
        <f t="shared" si="9"/>
        <v>0</v>
      </c>
      <c r="T23" s="328">
        <f t="shared" si="10"/>
        <v>-1.75</v>
      </c>
      <c r="U23" s="329">
        <f t="shared" si="11"/>
        <v>22332.01113</v>
      </c>
      <c r="V23" s="68"/>
      <c r="W23" s="291"/>
      <c r="X23" s="68"/>
    </row>
    <row r="24" ht="17.25" customHeight="1">
      <c r="B24" s="465">
        <f>(D9-2*E19)/4</f>
        <v>0.825</v>
      </c>
      <c r="C24" s="320">
        <f>B24*'WAP for X-AXIS Walls'!O30</f>
        <v>22.28325</v>
      </c>
      <c r="D24" s="286"/>
      <c r="E24" s="462"/>
      <c r="F24" s="322" t="str">
        <f>'WAP for X-AXIS Walls'!F30</f>
        <v/>
      </c>
      <c r="G24" s="466"/>
      <c r="H24" s="323"/>
      <c r="I24" s="323"/>
      <c r="J24" s="135"/>
      <c r="K24" s="324"/>
      <c r="L24" s="325"/>
      <c r="M24" s="325"/>
      <c r="N24" s="326"/>
      <c r="O24" s="327"/>
      <c r="P24" s="136"/>
      <c r="Q24" s="327"/>
      <c r="R24" s="327"/>
      <c r="S24" s="327"/>
      <c r="T24" s="328"/>
      <c r="U24" s="329"/>
      <c r="V24" s="68"/>
      <c r="W24" s="293"/>
      <c r="X24" s="68"/>
    </row>
    <row r="25" ht="16.5" customHeight="1">
      <c r="B25" s="467"/>
      <c r="C25" s="320"/>
      <c r="D25" s="286">
        <v>3.5</v>
      </c>
      <c r="E25" s="462">
        <v>0.2</v>
      </c>
      <c r="F25" s="322">
        <f>'WAP for X-AXIS Walls'!F31</f>
        <v>10</v>
      </c>
      <c r="G25" s="466">
        <v>2.9</v>
      </c>
      <c r="H25" s="323">
        <f>0.5*(('WAP for X-AXIS Walls'!F31*145.038)*900)/145.038</f>
        <v>4500</v>
      </c>
      <c r="I25" s="323">
        <f t="shared" ref="I25:I29" si="12">H25*0.4</f>
        <v>1800</v>
      </c>
      <c r="J25" s="135">
        <f>'WAP for X-AXIS Walls'!D31</f>
        <v>1.3</v>
      </c>
      <c r="K25" s="324">
        <f t="shared" ref="K25:K29" si="13">if(J25=0,0,G25/J25)</f>
        <v>2.230769231</v>
      </c>
      <c r="L25" s="325">
        <f>J25*'WAP for X-AXIS Walls'!G31*E25</f>
        <v>0.10764</v>
      </c>
      <c r="M25" s="325">
        <f t="shared" ref="M25:M29" si="14">if(J25=0,0,L25/J25)</f>
        <v>0.0828</v>
      </c>
      <c r="N25" s="326">
        <f t="shared" ref="N25:N29" si="15">M25*J25^3/12</f>
        <v>0.0151593</v>
      </c>
      <c r="O25" s="327">
        <f t="shared" ref="O25:O29" si="16">H25*1000*N25*3/G25^3</f>
        <v>8391.100496</v>
      </c>
      <c r="P25" s="136">
        <f t="shared" ref="P25:P29" si="17">5/6*L25</f>
        <v>0.0897</v>
      </c>
      <c r="Q25" s="327">
        <f t="shared" ref="Q25:Q29" si="18">I25*1000*P25/G25</f>
        <v>55675.86207</v>
      </c>
      <c r="R25" s="327">
        <f t="shared" ref="R25:R29" si="19">IF(OR(Q25=0,O25=0),0,(1/(1/O25+1/Q25)))</f>
        <v>7292.085267</v>
      </c>
      <c r="S25" s="327">
        <f t="shared" ref="S25:S29" si="20">D25*R25</f>
        <v>25522.29843</v>
      </c>
      <c r="T25" s="328">
        <f t="shared" ref="T25:T29" si="21">D25-$F$41</f>
        <v>1.75</v>
      </c>
      <c r="U25" s="329">
        <f t="shared" ref="U25:U29" si="22">R25*T25^2</f>
        <v>22332.01113</v>
      </c>
      <c r="V25" s="68"/>
      <c r="W25" s="291"/>
      <c r="X25" s="68"/>
    </row>
    <row r="26" ht="17.25" customHeight="1">
      <c r="B26" s="467"/>
      <c r="C26" s="320"/>
      <c r="D26" s="286">
        <v>3.5</v>
      </c>
      <c r="E26" s="462">
        <v>0.2</v>
      </c>
      <c r="F26" s="322">
        <f>'WAP for X-AXIS Walls'!F32</f>
        <v>10</v>
      </c>
      <c r="G26" s="466">
        <v>2.9</v>
      </c>
      <c r="H26" s="323">
        <f>0.5*(('WAP for X-AXIS Walls'!F32*145.038)*900)/145.038</f>
        <v>4500</v>
      </c>
      <c r="I26" s="323">
        <f t="shared" si="12"/>
        <v>1800</v>
      </c>
      <c r="J26" s="135">
        <f>'WAP for X-AXIS Walls'!D32</f>
        <v>1.9</v>
      </c>
      <c r="K26" s="324">
        <f t="shared" si="13"/>
        <v>1.526315789</v>
      </c>
      <c r="L26" s="325">
        <f>J26*'WAP for X-AXIS Walls'!G32*E26</f>
        <v>0.15732</v>
      </c>
      <c r="M26" s="325">
        <f t="shared" si="14"/>
        <v>0.0828</v>
      </c>
      <c r="N26" s="326">
        <f t="shared" si="15"/>
        <v>0.0473271</v>
      </c>
      <c r="O26" s="327">
        <f t="shared" si="16"/>
        <v>26196.88589</v>
      </c>
      <c r="P26" s="136">
        <f t="shared" si="17"/>
        <v>0.1311</v>
      </c>
      <c r="Q26" s="327">
        <f t="shared" si="18"/>
        <v>81372.41379</v>
      </c>
      <c r="R26" s="327">
        <f t="shared" si="19"/>
        <v>19817.02814</v>
      </c>
      <c r="S26" s="327">
        <f t="shared" si="20"/>
        <v>69359.59849</v>
      </c>
      <c r="T26" s="328">
        <f t="shared" si="21"/>
        <v>1.75</v>
      </c>
      <c r="U26" s="329">
        <f t="shared" si="22"/>
        <v>60689.64868</v>
      </c>
      <c r="V26" s="68"/>
      <c r="W26" s="293"/>
      <c r="X26" s="68"/>
    </row>
    <row r="27" ht="16.5" customHeight="1">
      <c r="B27" s="467"/>
      <c r="C27" s="320"/>
      <c r="D27" s="286">
        <v>3.5</v>
      </c>
      <c r="E27" s="462">
        <v>0.2</v>
      </c>
      <c r="F27" s="322">
        <f>'WAP for X-AXIS Walls'!F33</f>
        <v>10</v>
      </c>
      <c r="G27" s="466">
        <v>2.9</v>
      </c>
      <c r="H27" s="323">
        <f>0.5*(('WAP for X-AXIS Walls'!F33*145.038)*900)/145.038</f>
        <v>4500</v>
      </c>
      <c r="I27" s="323">
        <f t="shared" si="12"/>
        <v>1800</v>
      </c>
      <c r="J27" s="135">
        <f>'WAP for X-AXIS Walls'!D33</f>
        <v>2</v>
      </c>
      <c r="K27" s="324">
        <f t="shared" si="13"/>
        <v>1.45</v>
      </c>
      <c r="L27" s="325">
        <f>J27*'WAP for X-AXIS Walls'!G33*E27</f>
        <v>0.1656</v>
      </c>
      <c r="M27" s="325">
        <f t="shared" si="14"/>
        <v>0.0828</v>
      </c>
      <c r="N27" s="326">
        <f t="shared" si="15"/>
        <v>0.0552</v>
      </c>
      <c r="O27" s="327">
        <f t="shared" si="16"/>
        <v>30554.75829</v>
      </c>
      <c r="P27" s="136">
        <f t="shared" si="17"/>
        <v>0.138</v>
      </c>
      <c r="Q27" s="327">
        <f t="shared" si="18"/>
        <v>85655.17241</v>
      </c>
      <c r="R27" s="327">
        <f t="shared" si="19"/>
        <v>22521.07951</v>
      </c>
      <c r="S27" s="327">
        <f t="shared" si="20"/>
        <v>78823.77829</v>
      </c>
      <c r="T27" s="328">
        <f t="shared" si="21"/>
        <v>1.75</v>
      </c>
      <c r="U27" s="329">
        <f t="shared" si="22"/>
        <v>68970.80601</v>
      </c>
      <c r="V27" s="68"/>
      <c r="W27" s="291"/>
      <c r="X27" s="68"/>
    </row>
    <row r="28" ht="19.5" customHeight="1">
      <c r="B28" s="467"/>
      <c r="C28" s="320"/>
      <c r="D28" s="286">
        <v>3.5</v>
      </c>
      <c r="E28" s="462">
        <v>0.2</v>
      </c>
      <c r="F28" s="322">
        <f>'WAP for X-AXIS Walls'!F34</f>
        <v>10</v>
      </c>
      <c r="G28" s="466">
        <v>2.9</v>
      </c>
      <c r="H28" s="323">
        <f>0.5*(('WAP for X-AXIS Walls'!F34*145.038)*900)/145.038</f>
        <v>4500</v>
      </c>
      <c r="I28" s="323">
        <f t="shared" si="12"/>
        <v>1800</v>
      </c>
      <c r="J28" s="135">
        <f>'WAP for X-AXIS Walls'!D34</f>
        <v>1.9</v>
      </c>
      <c r="K28" s="324">
        <f t="shared" si="13"/>
        <v>1.526315789</v>
      </c>
      <c r="L28" s="325">
        <f>J28*'WAP for X-AXIS Walls'!G34*E28</f>
        <v>0.15732</v>
      </c>
      <c r="M28" s="325">
        <f t="shared" si="14"/>
        <v>0.0828</v>
      </c>
      <c r="N28" s="326">
        <f t="shared" si="15"/>
        <v>0.0473271</v>
      </c>
      <c r="O28" s="327">
        <f t="shared" si="16"/>
        <v>26196.88589</v>
      </c>
      <c r="P28" s="136">
        <f t="shared" si="17"/>
        <v>0.1311</v>
      </c>
      <c r="Q28" s="327">
        <f t="shared" si="18"/>
        <v>81372.41379</v>
      </c>
      <c r="R28" s="327">
        <f t="shared" si="19"/>
        <v>19817.02814</v>
      </c>
      <c r="S28" s="327">
        <f t="shared" si="20"/>
        <v>69359.59849</v>
      </c>
      <c r="T28" s="328">
        <f t="shared" si="21"/>
        <v>1.75</v>
      </c>
      <c r="U28" s="329">
        <f t="shared" si="22"/>
        <v>60689.64868</v>
      </c>
      <c r="V28" s="68"/>
      <c r="W28" s="293"/>
      <c r="X28" s="68"/>
    </row>
    <row r="29" ht="17.25" customHeight="1">
      <c r="B29" s="467"/>
      <c r="C29" s="320"/>
      <c r="D29" s="286">
        <v>3.5</v>
      </c>
      <c r="E29" s="462">
        <v>0.2</v>
      </c>
      <c r="F29" s="322">
        <f>'WAP for X-AXIS Walls'!F35</f>
        <v>10</v>
      </c>
      <c r="G29" s="466">
        <v>2.9</v>
      </c>
      <c r="H29" s="323">
        <f>0.5*(('WAP for X-AXIS Walls'!F35*145.038)*900)/145.038</f>
        <v>4500</v>
      </c>
      <c r="I29" s="323">
        <f t="shared" si="12"/>
        <v>1800</v>
      </c>
      <c r="J29" s="135">
        <f>'WAP for X-AXIS Walls'!D35</f>
        <v>1.3</v>
      </c>
      <c r="K29" s="324">
        <f t="shared" si="13"/>
        <v>2.230769231</v>
      </c>
      <c r="L29" s="325">
        <f>J29*'WAP for X-AXIS Walls'!G35*E29</f>
        <v>0.10764</v>
      </c>
      <c r="M29" s="325">
        <f t="shared" si="14"/>
        <v>0.0828</v>
      </c>
      <c r="N29" s="326">
        <f t="shared" si="15"/>
        <v>0.0151593</v>
      </c>
      <c r="O29" s="327">
        <f t="shared" si="16"/>
        <v>8391.100496</v>
      </c>
      <c r="P29" s="136">
        <f t="shared" si="17"/>
        <v>0.0897</v>
      </c>
      <c r="Q29" s="327">
        <f t="shared" si="18"/>
        <v>55675.86207</v>
      </c>
      <c r="R29" s="327">
        <f t="shared" si="19"/>
        <v>7292.085267</v>
      </c>
      <c r="S29" s="327">
        <f t="shared" si="20"/>
        <v>25522.29843</v>
      </c>
      <c r="T29" s="328">
        <f t="shared" si="21"/>
        <v>1.75</v>
      </c>
      <c r="U29" s="329">
        <f t="shared" si="22"/>
        <v>22332.01113</v>
      </c>
      <c r="V29" s="68"/>
      <c r="W29" s="291"/>
      <c r="X29" s="68"/>
    </row>
    <row r="30" ht="18.0" customHeight="1">
      <c r="B30" s="465">
        <f>D9-E25-B24</f>
        <v>2.675</v>
      </c>
      <c r="C30" s="320">
        <f>B30*'WAP for X-AXIS Walls'!O36</f>
        <v>72.25175</v>
      </c>
      <c r="D30" s="152"/>
      <c r="E30" s="468"/>
      <c r="F30" s="135"/>
      <c r="G30" s="324"/>
      <c r="H30" s="82"/>
      <c r="I30" s="82"/>
      <c r="J30" s="136"/>
      <c r="K30" s="327"/>
      <c r="L30" s="328"/>
      <c r="M30" s="327"/>
      <c r="Q30" s="327"/>
      <c r="R30" s="327"/>
      <c r="S30" s="82"/>
      <c r="T30" s="358"/>
      <c r="U30" s="469"/>
      <c r="V30" s="291"/>
      <c r="W30" s="68"/>
    </row>
    <row r="31" ht="18.75" customHeight="1">
      <c r="B31" s="156"/>
      <c r="C31" s="343"/>
      <c r="D31" s="157"/>
      <c r="E31" s="345"/>
      <c r="F31" s="347"/>
      <c r="G31" s="440"/>
      <c r="H31" s="127"/>
      <c r="I31" s="127"/>
      <c r="J31" s="163"/>
      <c r="K31" s="441"/>
      <c r="L31" s="347"/>
      <c r="M31" s="441"/>
      <c r="N31" s="311"/>
      <c r="O31" s="311"/>
      <c r="P31" s="311"/>
      <c r="Q31" s="441"/>
      <c r="R31" s="441"/>
      <c r="S31" s="127"/>
      <c r="T31" s="470"/>
      <c r="U31" s="471"/>
      <c r="V31" s="291"/>
      <c r="W31" s="68"/>
    </row>
    <row r="32" ht="18.75" customHeight="1">
      <c r="B32" s="345"/>
      <c r="C32" s="346">
        <f>SUM(C19:C31)</f>
        <v>94.535</v>
      </c>
      <c r="D32" s="347" t="str">
        <f>D30</f>
        <v/>
      </c>
      <c r="E32" s="348"/>
      <c r="F32" s="349"/>
      <c r="G32" s="349"/>
      <c r="H32" s="349"/>
      <c r="I32" s="349"/>
      <c r="J32" s="349"/>
      <c r="K32" s="350"/>
      <c r="L32" s="350"/>
      <c r="M32" s="349"/>
      <c r="N32" s="351"/>
      <c r="O32" s="351"/>
      <c r="P32" s="351"/>
      <c r="Q32" s="351"/>
      <c r="R32" s="352">
        <f t="shared" ref="R32:S32" si="23">sum(R19:R29)</f>
        <v>153478.6127</v>
      </c>
      <c r="S32" s="352">
        <f t="shared" si="23"/>
        <v>268587.5721</v>
      </c>
      <c r="T32" s="353" t="s">
        <v>333</v>
      </c>
      <c r="U32" s="354">
        <f>sum(U19:U29)</f>
        <v>470028.2513</v>
      </c>
      <c r="V32" s="68"/>
      <c r="W32" s="68"/>
    </row>
    <row r="33" ht="18.75" customHeight="1">
      <c r="B33" s="68"/>
      <c r="C33" s="446">
        <f>C32/'WAP for X-AXIS Walls'!O38</f>
        <v>1.75</v>
      </c>
      <c r="D33" s="80" t="s">
        <v>334</v>
      </c>
      <c r="E33" s="68"/>
      <c r="F33" s="68"/>
      <c r="G33" s="68"/>
      <c r="H33" s="68"/>
      <c r="I33" s="68"/>
      <c r="J33" s="328"/>
      <c r="P33" s="71" t="s">
        <v>335</v>
      </c>
      <c r="Q33" s="68"/>
      <c r="R33" s="358">
        <f>'Detailed Check Y-AXIS Walls'!R32</f>
        <v>219756.2818</v>
      </c>
      <c r="T33" s="80" t="s">
        <v>336</v>
      </c>
      <c r="U33" s="358">
        <f>'Detailed Check Y-AXIS Walls'!U32</f>
        <v>6047396.746</v>
      </c>
      <c r="V33" s="68"/>
      <c r="W33" s="68"/>
    </row>
    <row r="34" ht="17.25" customHeight="1">
      <c r="B34" s="68"/>
      <c r="C34" s="68"/>
      <c r="D34" s="68"/>
      <c r="E34" s="68"/>
      <c r="F34" s="68"/>
      <c r="G34" s="68"/>
      <c r="H34" s="68"/>
      <c r="I34" s="68"/>
      <c r="J34" s="328"/>
      <c r="K34" s="82"/>
      <c r="L34" s="82"/>
      <c r="Q34" s="68"/>
      <c r="R34" s="68"/>
      <c r="T34" s="80" t="s">
        <v>338</v>
      </c>
      <c r="U34" s="327">
        <f>U32+U33</f>
        <v>6517424.997</v>
      </c>
      <c r="V34" s="68"/>
      <c r="W34" s="68"/>
    </row>
    <row r="35">
      <c r="K35" s="82"/>
      <c r="L35" s="82"/>
      <c r="M35" s="68"/>
      <c r="N35" s="68"/>
      <c r="O35" s="68"/>
      <c r="P35" s="68"/>
      <c r="Q35" s="68"/>
      <c r="R35" s="68"/>
      <c r="S35" s="68"/>
      <c r="T35" s="68"/>
      <c r="U35" s="68"/>
      <c r="V35" s="68"/>
      <c r="W35" s="68"/>
    </row>
    <row r="36">
      <c r="K36" s="68"/>
      <c r="L36" s="68"/>
      <c r="M36" s="68"/>
      <c r="N36" s="68"/>
      <c r="O36" s="68"/>
      <c r="P36" s="68"/>
      <c r="Q36" s="68"/>
      <c r="R36" s="68"/>
      <c r="S36" s="68"/>
      <c r="T36" s="68"/>
      <c r="U36" s="68"/>
      <c r="V36" s="68"/>
      <c r="W36" s="68"/>
    </row>
    <row r="37">
      <c r="B37" s="363" t="s">
        <v>342</v>
      </c>
      <c r="C37" s="364"/>
      <c r="D37" s="364"/>
      <c r="E37" s="364"/>
      <c r="F37" s="68"/>
      <c r="G37" s="68"/>
      <c r="H37" s="68"/>
      <c r="I37" s="68"/>
      <c r="J37" s="328"/>
      <c r="K37" s="68"/>
      <c r="L37" s="68"/>
      <c r="M37" s="68"/>
      <c r="N37" s="68"/>
      <c r="O37" s="68"/>
      <c r="P37" s="68"/>
      <c r="Q37" s="68"/>
      <c r="R37" s="68"/>
      <c r="S37" s="68"/>
      <c r="T37" s="68"/>
      <c r="U37" s="68"/>
      <c r="V37" s="68"/>
      <c r="W37" s="68"/>
    </row>
    <row r="38">
      <c r="B38" s="365"/>
      <c r="C38" s="366"/>
      <c r="D38" s="364"/>
      <c r="E38" s="364"/>
      <c r="F38" s="367"/>
      <c r="G38" s="68"/>
      <c r="H38" s="68"/>
      <c r="I38" s="68"/>
      <c r="J38" s="68"/>
      <c r="M38" s="68"/>
      <c r="N38" s="68"/>
      <c r="O38" s="68"/>
      <c r="P38" s="68"/>
      <c r="Q38" s="68"/>
      <c r="R38" s="68"/>
      <c r="S38" s="68"/>
      <c r="T38" s="68"/>
      <c r="U38" s="68"/>
      <c r="V38" s="68"/>
      <c r="W38" s="68"/>
    </row>
    <row r="39">
      <c r="B39" s="68"/>
      <c r="M39" s="68"/>
      <c r="N39" s="68"/>
      <c r="O39" s="68"/>
      <c r="P39" s="68"/>
      <c r="Q39" s="68"/>
      <c r="R39" s="68"/>
      <c r="S39" s="68"/>
      <c r="T39" s="68"/>
      <c r="U39" s="68"/>
      <c r="V39" s="68"/>
      <c r="W39" s="68"/>
    </row>
    <row r="40">
      <c r="B40" s="328"/>
      <c r="C40" s="68"/>
      <c r="D40" s="68"/>
      <c r="E40" s="70"/>
      <c r="F40" s="328"/>
      <c r="G40" s="80"/>
      <c r="H40" s="71"/>
      <c r="I40" s="68"/>
      <c r="J40" s="68"/>
      <c r="M40" s="68"/>
      <c r="N40" s="68"/>
      <c r="O40" s="68"/>
      <c r="P40" s="68"/>
      <c r="Q40" s="68"/>
      <c r="R40" s="68"/>
      <c r="S40" s="68"/>
      <c r="T40" s="68"/>
      <c r="U40" s="68"/>
      <c r="V40" s="68"/>
      <c r="W40" s="68"/>
    </row>
    <row r="41">
      <c r="B41" s="328"/>
      <c r="C41" s="82"/>
      <c r="D41" s="68"/>
      <c r="E41" s="70" t="s">
        <v>523</v>
      </c>
      <c r="F41" s="328">
        <f>S32/R32</f>
        <v>1.75</v>
      </c>
      <c r="G41" s="80" t="s">
        <v>344</v>
      </c>
      <c r="H41" s="68"/>
      <c r="I41" s="71" t="s">
        <v>500</v>
      </c>
      <c r="J41" s="68"/>
      <c r="M41" s="68"/>
      <c r="N41" s="68"/>
      <c r="O41" s="68"/>
      <c r="P41" s="68"/>
      <c r="Q41" s="68"/>
      <c r="R41" s="68"/>
      <c r="S41" s="68"/>
      <c r="T41" s="68"/>
      <c r="U41" s="68"/>
      <c r="V41" s="68"/>
      <c r="W41" s="68"/>
    </row>
    <row r="42">
      <c r="B42" s="328"/>
      <c r="C42" s="82"/>
      <c r="D42" s="68"/>
      <c r="E42" s="70" t="s">
        <v>345</v>
      </c>
      <c r="F42" s="328">
        <f>'WAP for X-AXIS Walls'!I68/$R$32*1000</f>
        <v>3.505992598</v>
      </c>
      <c r="G42" s="43" t="s">
        <v>346</v>
      </c>
      <c r="H42" s="71" t="s">
        <v>347</v>
      </c>
      <c r="I42" s="68"/>
      <c r="J42" s="68"/>
      <c r="M42" s="68"/>
      <c r="N42" s="68"/>
      <c r="O42" s="68"/>
      <c r="P42" s="68"/>
      <c r="Q42" s="68"/>
      <c r="R42" s="68"/>
      <c r="S42" s="68"/>
      <c r="T42" s="68"/>
      <c r="U42" s="68"/>
      <c r="V42" s="68"/>
      <c r="W42" s="68"/>
    </row>
    <row r="43">
      <c r="B43" s="328"/>
      <c r="C43" s="82"/>
      <c r="D43" s="68"/>
      <c r="E43" s="70" t="s">
        <v>348</v>
      </c>
      <c r="F43" s="328">
        <f>C33</f>
        <v>1.75</v>
      </c>
      <c r="G43" s="43" t="s">
        <v>84</v>
      </c>
      <c r="H43" s="68"/>
      <c r="I43" s="68"/>
      <c r="J43" s="68"/>
      <c r="M43" s="68"/>
      <c r="N43" s="68"/>
      <c r="O43" s="68"/>
      <c r="P43" s="68"/>
      <c r="Q43" s="68"/>
      <c r="R43" s="68"/>
      <c r="S43" s="68"/>
      <c r="T43" s="68"/>
      <c r="U43" s="68"/>
      <c r="V43" s="68"/>
      <c r="W43" s="68"/>
    </row>
    <row r="44">
      <c r="B44" s="328"/>
      <c r="C44" s="82"/>
      <c r="D44" s="68"/>
      <c r="E44" s="70" t="s">
        <v>349</v>
      </c>
      <c r="F44" s="328">
        <f>F43-F41</f>
        <v>0</v>
      </c>
      <c r="G44" s="80" t="s">
        <v>344</v>
      </c>
      <c r="H44" s="71" t="s">
        <v>350</v>
      </c>
      <c r="I44" s="68"/>
      <c r="J44" s="68"/>
      <c r="M44" s="68"/>
      <c r="N44" s="68"/>
      <c r="O44" s="68"/>
      <c r="P44" s="68"/>
      <c r="Q44" s="68"/>
      <c r="R44" s="68"/>
      <c r="S44" s="68"/>
      <c r="T44" s="68"/>
      <c r="U44" s="68"/>
      <c r="V44" s="68"/>
      <c r="W44" s="68"/>
    </row>
    <row r="45">
      <c r="B45" s="328"/>
      <c r="C45" s="82"/>
      <c r="D45" s="68"/>
      <c r="E45" s="77" t="s">
        <v>351</v>
      </c>
      <c r="F45" s="97">
        <f>D9</f>
        <v>3.7</v>
      </c>
      <c r="G45" s="71" t="s">
        <v>84</v>
      </c>
      <c r="H45" s="68"/>
      <c r="I45" s="68"/>
      <c r="J45" s="68"/>
      <c r="K45" s="68"/>
      <c r="L45" s="68"/>
      <c r="M45" s="68"/>
      <c r="N45" s="68"/>
      <c r="O45" s="68"/>
      <c r="P45" s="68"/>
      <c r="Q45" s="68"/>
      <c r="R45" s="68"/>
      <c r="S45" s="68"/>
      <c r="T45" s="68"/>
      <c r="U45" s="68"/>
      <c r="V45" s="68"/>
      <c r="W45" s="68"/>
    </row>
    <row r="46">
      <c r="C46" s="82"/>
      <c r="D46" s="68"/>
      <c r="E46" s="70" t="s">
        <v>352</v>
      </c>
      <c r="F46" s="368">
        <f>F44/F45</f>
        <v>0</v>
      </c>
      <c r="G46" s="71" t="s">
        <v>353</v>
      </c>
      <c r="H46" s="71" t="s">
        <v>354</v>
      </c>
      <c r="I46" s="68"/>
      <c r="J46" s="68"/>
      <c r="K46" s="68"/>
      <c r="L46" s="68"/>
      <c r="M46" s="68"/>
      <c r="N46" s="68"/>
      <c r="O46" s="68"/>
      <c r="P46" s="68"/>
      <c r="Q46" s="68"/>
      <c r="R46" s="68"/>
      <c r="S46" s="68"/>
      <c r="T46" s="68"/>
      <c r="U46" s="68"/>
      <c r="V46" s="68"/>
      <c r="W46" s="68"/>
    </row>
    <row r="47">
      <c r="I47" s="68"/>
      <c r="J47" s="68"/>
      <c r="K47" s="68"/>
      <c r="L47" s="68"/>
      <c r="M47" s="68"/>
      <c r="N47" s="68"/>
      <c r="O47" s="68"/>
      <c r="P47" s="68"/>
      <c r="Q47" s="68"/>
      <c r="R47" s="68"/>
      <c r="S47" s="68"/>
      <c r="T47" s="68"/>
      <c r="U47" s="68"/>
      <c r="V47" s="68"/>
      <c r="W47" s="68"/>
    </row>
    <row r="48" ht="27.0" customHeight="1">
      <c r="I48" s="68"/>
      <c r="J48" s="68"/>
      <c r="K48" s="68"/>
      <c r="L48" s="68"/>
      <c r="M48" s="68"/>
      <c r="N48" s="68"/>
      <c r="O48" s="68"/>
      <c r="P48" s="68"/>
      <c r="Q48" s="68"/>
      <c r="R48" s="68"/>
      <c r="S48" s="68"/>
      <c r="T48" s="68"/>
      <c r="U48" s="68"/>
      <c r="V48" s="68"/>
      <c r="W48" s="68"/>
    </row>
    <row r="49" ht="30.0" customHeight="1">
      <c r="I49" s="68"/>
      <c r="J49" s="68"/>
      <c r="K49" s="68"/>
      <c r="L49" s="68"/>
      <c r="M49" s="68"/>
      <c r="N49" s="68"/>
      <c r="O49" s="68"/>
      <c r="P49" s="68"/>
      <c r="Q49" s="68"/>
      <c r="R49" s="68"/>
      <c r="S49" s="68"/>
      <c r="T49" s="68"/>
      <c r="U49" s="68"/>
      <c r="V49" s="68"/>
      <c r="W49" s="68"/>
    </row>
    <row r="50" ht="30.0" customHeight="1">
      <c r="I50" s="68"/>
      <c r="J50" s="68"/>
      <c r="K50" s="68"/>
      <c r="L50" s="68"/>
      <c r="M50" s="68"/>
      <c r="N50" s="68"/>
      <c r="O50" s="68"/>
      <c r="P50" s="68"/>
      <c r="Q50" s="68"/>
      <c r="R50" s="68"/>
      <c r="S50" s="68"/>
      <c r="T50" s="68"/>
      <c r="U50" s="68"/>
      <c r="V50" s="68"/>
      <c r="W50" s="68"/>
    </row>
    <row r="51">
      <c r="I51" s="68"/>
      <c r="J51" s="68"/>
      <c r="K51" s="68"/>
      <c r="L51" s="68"/>
      <c r="M51" s="68"/>
      <c r="N51" s="68"/>
      <c r="O51" s="68"/>
      <c r="P51" s="68"/>
      <c r="Q51" s="68"/>
      <c r="R51" s="68"/>
      <c r="S51" s="68"/>
      <c r="T51" s="68"/>
      <c r="U51" s="68"/>
      <c r="V51" s="68"/>
      <c r="W51" s="68"/>
    </row>
    <row r="52">
      <c r="B52" s="43"/>
      <c r="C52" s="44"/>
      <c r="D52" s="43"/>
      <c r="E52" s="43"/>
      <c r="F52" s="43"/>
      <c r="G52" s="68"/>
      <c r="H52" s="68"/>
      <c r="I52" s="68"/>
      <c r="J52" s="68"/>
      <c r="K52" s="68"/>
      <c r="L52" s="68"/>
      <c r="M52" s="68"/>
      <c r="N52" s="45"/>
      <c r="O52" s="43"/>
      <c r="P52" s="43"/>
      <c r="Q52" s="43"/>
      <c r="R52" s="68"/>
      <c r="S52" s="68"/>
      <c r="T52" s="68"/>
      <c r="U52" s="68"/>
      <c r="V52" s="68"/>
      <c r="W52" s="68"/>
    </row>
    <row r="53">
      <c r="A53" s="47"/>
      <c r="B53" s="49" t="s">
        <v>75</v>
      </c>
      <c r="C53" s="50"/>
      <c r="D53" s="51"/>
      <c r="E53" s="51"/>
      <c r="F53" s="51"/>
      <c r="G53" s="51"/>
      <c r="H53" s="51"/>
      <c r="I53" s="51"/>
      <c r="J53" s="51"/>
      <c r="K53" s="51"/>
      <c r="L53" s="51"/>
      <c r="M53" s="51"/>
      <c r="N53" s="52" t="s">
        <v>76</v>
      </c>
      <c r="O53" s="52"/>
      <c r="P53" s="51"/>
      <c r="Q53" s="51"/>
      <c r="R53" s="68"/>
      <c r="S53" s="68"/>
      <c r="T53" s="68"/>
      <c r="U53" s="68"/>
      <c r="V53" s="68"/>
      <c r="W53" s="68"/>
    </row>
    <row r="54">
      <c r="A54" s="47"/>
      <c r="B54" s="49" t="s">
        <v>77</v>
      </c>
      <c r="C54" s="55" t="s">
        <v>78</v>
      </c>
      <c r="D54" s="56"/>
      <c r="E54" s="51"/>
      <c r="F54" s="51"/>
      <c r="G54" s="51"/>
      <c r="H54" s="51"/>
      <c r="I54" s="51"/>
      <c r="J54" s="51"/>
      <c r="K54" s="51"/>
      <c r="L54" s="51"/>
      <c r="M54" s="51"/>
      <c r="N54" s="57" t="s">
        <v>79</v>
      </c>
      <c r="O54" s="57"/>
      <c r="P54" s="51"/>
      <c r="Q54" s="51"/>
      <c r="R54" s="68"/>
      <c r="S54" s="68"/>
      <c r="T54" s="68"/>
      <c r="U54" s="68"/>
      <c r="V54" s="68"/>
      <c r="W54" s="68"/>
    </row>
    <row r="55">
      <c r="A55" s="47"/>
      <c r="B55" s="51"/>
      <c r="C55" s="52"/>
      <c r="D55" s="56"/>
      <c r="E55" s="51"/>
      <c r="F55" s="51"/>
      <c r="G55" s="51"/>
      <c r="H55" s="51"/>
      <c r="I55" s="51"/>
      <c r="J55" s="51"/>
      <c r="K55" s="51"/>
      <c r="L55" s="51"/>
      <c r="M55" s="51"/>
      <c r="N55" s="57" t="s">
        <v>80</v>
      </c>
      <c r="O55" s="57"/>
      <c r="P55" s="51"/>
      <c r="Q55" s="51"/>
      <c r="R55" s="68"/>
      <c r="S55" s="68"/>
      <c r="T55" s="68"/>
      <c r="U55" s="68"/>
      <c r="V55" s="68"/>
      <c r="W55" s="68"/>
    </row>
    <row r="56">
      <c r="A56" s="33"/>
      <c r="B56" s="43"/>
      <c r="C56" s="45"/>
      <c r="D56" s="43"/>
      <c r="E56" s="43"/>
      <c r="F56" s="43"/>
      <c r="G56" s="43"/>
      <c r="H56" s="43"/>
      <c r="I56" s="43"/>
      <c r="J56" s="43"/>
      <c r="K56" s="43"/>
      <c r="L56" s="43"/>
      <c r="M56" s="43"/>
      <c r="N56" s="43"/>
      <c r="O56" s="43"/>
      <c r="P56" s="43"/>
      <c r="Q56" s="43"/>
      <c r="R56" s="68"/>
      <c r="S56" s="68"/>
      <c r="T56" s="68"/>
      <c r="U56" s="68"/>
      <c r="V56" s="68"/>
      <c r="W56" s="68"/>
    </row>
    <row r="57">
      <c r="B57" s="68"/>
      <c r="C57" s="68"/>
      <c r="D57" s="68"/>
      <c r="E57" s="68"/>
      <c r="F57" s="68"/>
      <c r="G57" s="68"/>
      <c r="H57" s="68"/>
      <c r="I57" s="68"/>
      <c r="J57" s="68"/>
      <c r="K57" s="68"/>
      <c r="L57" s="68"/>
      <c r="M57" s="68"/>
      <c r="N57" s="68"/>
      <c r="O57" s="68"/>
      <c r="P57" s="68"/>
      <c r="Q57" s="68"/>
      <c r="R57" s="68"/>
      <c r="S57" s="68"/>
      <c r="T57" s="68"/>
      <c r="U57" s="68"/>
      <c r="V57" s="68"/>
      <c r="W57" s="68"/>
    </row>
    <row r="58">
      <c r="C58" s="68"/>
      <c r="D58" s="68"/>
      <c r="E58" s="68"/>
      <c r="F58" s="68"/>
      <c r="G58" s="68"/>
      <c r="H58" s="68"/>
      <c r="I58" s="68"/>
      <c r="J58" s="68"/>
      <c r="K58" s="68"/>
      <c r="L58" s="68"/>
      <c r="M58" s="68"/>
      <c r="N58" s="68"/>
      <c r="O58" s="68"/>
      <c r="P58" s="68"/>
      <c r="Q58" s="68"/>
      <c r="R58" s="68"/>
      <c r="S58" s="68"/>
      <c r="T58" s="68"/>
      <c r="U58" s="68"/>
      <c r="V58" s="68"/>
      <c r="W58" s="68"/>
    </row>
    <row r="59">
      <c r="B59" s="114" t="s">
        <v>355</v>
      </c>
      <c r="C59" s="68"/>
      <c r="D59" s="369"/>
      <c r="E59" s="68"/>
      <c r="F59" s="68"/>
      <c r="G59" s="68"/>
      <c r="H59" s="68"/>
      <c r="I59" s="68"/>
      <c r="J59" s="114" t="s">
        <v>356</v>
      </c>
      <c r="K59" s="68"/>
      <c r="L59" s="68"/>
      <c r="M59" s="68"/>
      <c r="N59" s="68"/>
      <c r="O59" s="68"/>
      <c r="P59" s="68"/>
      <c r="Q59" s="68"/>
      <c r="R59" s="68"/>
      <c r="S59" s="68"/>
      <c r="T59" s="68"/>
      <c r="U59" s="68"/>
      <c r="V59" s="68"/>
      <c r="W59" s="68"/>
    </row>
    <row r="60">
      <c r="B60" s="114" t="s">
        <v>357</v>
      </c>
      <c r="C60" s="68"/>
      <c r="D60" s="369"/>
      <c r="E60" s="68"/>
      <c r="F60" s="68"/>
      <c r="G60" s="68"/>
      <c r="H60" s="68"/>
      <c r="I60" s="68"/>
      <c r="J60" s="114" t="s">
        <v>357</v>
      </c>
      <c r="K60" s="68"/>
      <c r="L60" s="68"/>
      <c r="M60" s="68"/>
      <c r="N60" s="68"/>
      <c r="O60" s="68"/>
      <c r="P60" s="68"/>
      <c r="Q60" s="114" t="s">
        <v>358</v>
      </c>
      <c r="R60" s="68"/>
      <c r="S60" s="68"/>
      <c r="T60" s="68"/>
      <c r="U60" s="68"/>
      <c r="V60" s="68"/>
      <c r="W60" s="68"/>
    </row>
    <row r="61">
      <c r="B61" s="114" t="s">
        <v>359</v>
      </c>
      <c r="C61" s="68"/>
      <c r="D61" s="68"/>
      <c r="E61" s="68"/>
      <c r="F61" s="68"/>
      <c r="G61" s="68"/>
      <c r="H61" s="68"/>
      <c r="I61" s="68"/>
      <c r="J61" s="114" t="s">
        <v>359</v>
      </c>
      <c r="K61" s="68"/>
      <c r="L61" s="68"/>
      <c r="M61" s="68"/>
      <c r="N61" s="68"/>
      <c r="O61" s="68"/>
      <c r="P61" s="68"/>
      <c r="Q61" s="114" t="s">
        <v>360</v>
      </c>
      <c r="R61" s="68"/>
      <c r="S61" s="68"/>
      <c r="T61" s="68"/>
      <c r="U61" s="68"/>
      <c r="V61" s="68"/>
      <c r="W61" s="68"/>
    </row>
    <row r="62">
      <c r="B62" s="370" t="s">
        <v>361</v>
      </c>
      <c r="C62" s="100" t="s">
        <v>362</v>
      </c>
      <c r="D62" s="101" t="s">
        <v>363</v>
      </c>
      <c r="E62" s="303" t="s">
        <v>364</v>
      </c>
      <c r="F62" s="303" t="s">
        <v>114</v>
      </c>
      <c r="G62" s="303" t="s">
        <v>114</v>
      </c>
      <c r="H62" s="101" t="s">
        <v>365</v>
      </c>
      <c r="I62" s="371"/>
      <c r="J62" s="100" t="s">
        <v>362</v>
      </c>
      <c r="K62" s="101" t="s">
        <v>363</v>
      </c>
      <c r="L62" s="303" t="s">
        <v>364</v>
      </c>
      <c r="M62" s="303" t="s">
        <v>114</v>
      </c>
      <c r="N62" s="303" t="s">
        <v>114</v>
      </c>
      <c r="O62" s="101" t="s">
        <v>365</v>
      </c>
      <c r="P62" s="371"/>
      <c r="Q62" s="100" t="s">
        <v>366</v>
      </c>
      <c r="R62" s="101" t="s">
        <v>367</v>
      </c>
      <c r="S62" s="101" t="s">
        <v>368</v>
      </c>
      <c r="T62" s="303" t="s">
        <v>114</v>
      </c>
      <c r="U62" s="303" t="s">
        <v>369</v>
      </c>
      <c r="V62" s="102" t="s">
        <v>365</v>
      </c>
      <c r="W62" s="371"/>
    </row>
    <row r="63">
      <c r="B63" s="372" t="s">
        <v>378</v>
      </c>
      <c r="C63" s="306" t="s">
        <v>379</v>
      </c>
      <c r="D63" s="111" t="s">
        <v>379</v>
      </c>
      <c r="E63" s="111" t="s">
        <v>380</v>
      </c>
      <c r="F63" s="110" t="s">
        <v>381</v>
      </c>
      <c r="G63" s="111" t="s">
        <v>361</v>
      </c>
      <c r="H63" s="111" t="s">
        <v>114</v>
      </c>
      <c r="I63" s="112" t="s">
        <v>382</v>
      </c>
      <c r="J63" s="306" t="s">
        <v>379</v>
      </c>
      <c r="K63" s="111" t="s">
        <v>379</v>
      </c>
      <c r="L63" s="111" t="s">
        <v>380</v>
      </c>
      <c r="M63" s="110" t="s">
        <v>381</v>
      </c>
      <c r="N63" s="111" t="s">
        <v>361</v>
      </c>
      <c r="O63" s="111" t="s">
        <v>114</v>
      </c>
      <c r="P63" s="112" t="s">
        <v>382</v>
      </c>
      <c r="Q63" s="306" t="s">
        <v>298</v>
      </c>
      <c r="R63" s="115" t="s">
        <v>383</v>
      </c>
      <c r="S63" s="111" t="s">
        <v>384</v>
      </c>
      <c r="T63" s="110" t="s">
        <v>381</v>
      </c>
      <c r="U63" s="111" t="s">
        <v>386</v>
      </c>
      <c r="V63" s="111" t="s">
        <v>114</v>
      </c>
      <c r="W63" s="112" t="s">
        <v>382</v>
      </c>
    </row>
    <row r="64">
      <c r="B64" s="372" t="s">
        <v>399</v>
      </c>
      <c r="C64" s="306" t="s">
        <v>400</v>
      </c>
      <c r="D64" s="111" t="s">
        <v>401</v>
      </c>
      <c r="E64" s="115" t="s">
        <v>402</v>
      </c>
      <c r="F64" s="111" t="s">
        <v>403</v>
      </c>
      <c r="G64" s="111" t="s">
        <v>404</v>
      </c>
      <c r="H64" s="110" t="s">
        <v>405</v>
      </c>
      <c r="I64" s="373"/>
      <c r="J64" s="306" t="s">
        <v>400</v>
      </c>
      <c r="K64" s="111" t="s">
        <v>401</v>
      </c>
      <c r="L64" s="115" t="s">
        <v>402</v>
      </c>
      <c r="M64" s="111" t="s">
        <v>403</v>
      </c>
      <c r="N64" s="111" t="s">
        <v>404</v>
      </c>
      <c r="O64" s="110" t="s">
        <v>405</v>
      </c>
      <c r="P64" s="373"/>
      <c r="Q64" s="306" t="s">
        <v>406</v>
      </c>
      <c r="R64" s="111" t="s">
        <v>407</v>
      </c>
      <c r="S64" s="111" t="s">
        <v>408</v>
      </c>
      <c r="T64" s="110" t="s">
        <v>199</v>
      </c>
      <c r="U64" s="111" t="s">
        <v>404</v>
      </c>
      <c r="V64" s="110" t="s">
        <v>405</v>
      </c>
      <c r="W64" s="373"/>
    </row>
    <row r="65">
      <c r="B65" s="372" t="s">
        <v>419</v>
      </c>
      <c r="C65" s="306" t="s">
        <v>346</v>
      </c>
      <c r="D65" s="111" t="s">
        <v>346</v>
      </c>
      <c r="E65" s="111" t="s">
        <v>420</v>
      </c>
      <c r="F65" s="375">
        <f>if('WAP for Y-AXIS Walls'!I74/'WAP for Y-AXIS Walls'!I73&lt;1,1,'WAP for Y-AXIS Walls'!I74/'WAP for Y-AXIS Walls'!I73)</f>
        <v>1</v>
      </c>
      <c r="G65" s="118"/>
      <c r="H65" s="118"/>
      <c r="I65" s="309"/>
      <c r="J65" s="306" t="s">
        <v>346</v>
      </c>
      <c r="K65" s="111" t="s">
        <v>346</v>
      </c>
      <c r="L65" s="111" t="s">
        <v>420</v>
      </c>
      <c r="M65" s="375">
        <f>if('WAP for Y-AXIS Walls'!I74/'WAP for Y-AXIS Walls'!I73&lt;1,1,'WAP for Y-AXIS Walls'!I74/'WAP for Y-AXIS Walls'!I73)</f>
        <v>1</v>
      </c>
      <c r="N65" s="118"/>
      <c r="O65" s="118"/>
      <c r="P65" s="309"/>
      <c r="Q65" s="113" t="s">
        <v>539</v>
      </c>
      <c r="R65" s="115" t="s">
        <v>422</v>
      </c>
      <c r="S65" s="115" t="s">
        <v>423</v>
      </c>
      <c r="T65" s="375">
        <f>if('WAP for Y-AXIS Walls'!I74/'WAP for Y-AXIS Walls'!I73&lt;1,1,'WAP for Y-AXIS Walls'!I74/'WAP for Y-AXIS Walls'!I73)</f>
        <v>1</v>
      </c>
      <c r="U65" s="118"/>
      <c r="V65" s="118"/>
      <c r="W65" s="309"/>
    </row>
    <row r="66">
      <c r="B66" s="376" t="s">
        <v>432</v>
      </c>
      <c r="C66" s="377" t="s">
        <v>540</v>
      </c>
      <c r="D66" s="378" t="s">
        <v>434</v>
      </c>
      <c r="E66" s="378" t="s">
        <v>435</v>
      </c>
      <c r="F66" s="379" t="s">
        <v>436</v>
      </c>
      <c r="G66" s="378" t="s">
        <v>541</v>
      </c>
      <c r="H66" s="380" t="s">
        <v>438</v>
      </c>
      <c r="I66" s="122"/>
      <c r="J66" s="377" t="s">
        <v>542</v>
      </c>
      <c r="K66" s="378" t="s">
        <v>434</v>
      </c>
      <c r="L66" s="378" t="s">
        <v>435</v>
      </c>
      <c r="M66" s="379" t="s">
        <v>436</v>
      </c>
      <c r="N66" s="378" t="s">
        <v>543</v>
      </c>
      <c r="O66" s="380" t="s">
        <v>438</v>
      </c>
      <c r="P66" s="120"/>
      <c r="Q66" s="377" t="s">
        <v>544</v>
      </c>
      <c r="R66" s="381" t="s">
        <v>545</v>
      </c>
      <c r="S66" s="380" t="s">
        <v>546</v>
      </c>
      <c r="T66" s="378" t="s">
        <v>509</v>
      </c>
      <c r="U66" s="379" t="s">
        <v>547</v>
      </c>
      <c r="V66" s="380" t="s">
        <v>548</v>
      </c>
      <c r="W66" s="122"/>
    </row>
    <row r="67">
      <c r="B67" s="382">
        <f>'WAP for X-AXIS Walls'!$I$63*'WAP for X-AXIS Walls'!$I$56*'WAP for X-AXIS Walls'!$I$57</f>
        <v>596.5219172</v>
      </c>
      <c r="C67" s="383">
        <f t="shared" ref="C67:C71" si="24">T19*$G$101*1000</f>
        <v>-0.02672960831</v>
      </c>
      <c r="D67" s="328">
        <f t="shared" ref="D67:D71" si="25">C67+$F$42</f>
        <v>3.47926299</v>
      </c>
      <c r="E67" s="384">
        <f t="shared" ref="E67:E71" si="26">D67/G19/1000</f>
        <v>0.001199745859</v>
      </c>
      <c r="F67" s="385">
        <f t="shared" ref="F67:F71" si="27">R19*D67/1000*$F$65</f>
        <v>25.37108239</v>
      </c>
      <c r="G67" s="472">
        <f>IF('WAP for X-AXIS Walls'!L25=0,0,F67/('WAP for X-AXIS Walls'!L25*'WAP for Y-AXIS Walls'!$I$58))</f>
        <v>195.7897049</v>
      </c>
      <c r="H67" s="324">
        <f t="shared" ref="H67:H71" si="28">G67/B67</f>
        <v>0.3282187951</v>
      </c>
      <c r="I67" s="386" t="str">
        <f t="shared" ref="I67:I71" si="29">if(H67&lt;=1,"OK","NG")</f>
        <v>OK</v>
      </c>
      <c r="J67" s="328">
        <f t="shared" ref="J67:J71" si="30">T19*$R$101*1000</f>
        <v>0.02672960831</v>
      </c>
      <c r="K67" s="328">
        <f t="shared" ref="K67:K71" si="31">J67+$F$42</f>
        <v>3.532722206</v>
      </c>
      <c r="L67" s="384">
        <f t="shared" ref="L67:L71" si="32">K67/G19/1000</f>
        <v>0.001218180071</v>
      </c>
      <c r="M67" s="385">
        <f t="shared" ref="M67:M71" si="33">R19*K67/1000*$M$65</f>
        <v>25.76091155</v>
      </c>
      <c r="N67" s="385">
        <f>IF('WAP for X-AXIS Walls'!L25=0,0,M67/('WAP for X-AXIS Walls'!L25*'WAP for X-AXIS Walls'!$I$58))</f>
        <v>198.7980329</v>
      </c>
      <c r="O67" s="324">
        <f t="shared" ref="O67:O71" si="34">N67/B67</f>
        <v>0.3332619091</v>
      </c>
      <c r="P67" s="387" t="str">
        <f t="shared" ref="P67:P71" si="35">if(O67&lt;=1,"OK","NG")</f>
        <v>OK</v>
      </c>
      <c r="Q67" s="388"/>
      <c r="R67" s="328"/>
      <c r="S67" s="142">
        <f t="shared" ref="S67:S71" si="36">R19/$R$72</f>
        <v>0.09502412279</v>
      </c>
      <c r="T67" s="385">
        <f t="shared" ref="T67:T71" si="37">$Q$72*$S67*$T$65*$R$99</f>
        <v>25.56599697</v>
      </c>
      <c r="U67" s="385">
        <f>IF('WAP for X-AXIS Walls'!L25=0,0,T67/('WAP for X-AXIS Walls'!L25*'WAP for X-AXIS Walls'!$I$58))</f>
        <v>197.2938689</v>
      </c>
      <c r="V67" s="324">
        <f t="shared" ref="V67:V71" si="38">U67/B67</f>
        <v>0.3307403521</v>
      </c>
      <c r="W67" s="386" t="str">
        <f t="shared" ref="W67:W71" si="39">if(V67&lt;=1,"OK","NG")</f>
        <v>OK</v>
      </c>
    </row>
    <row r="68">
      <c r="B68" s="382">
        <f>'WAP for X-AXIS Walls'!$I$63*'WAP for X-AXIS Walls'!$I$56*'WAP for X-AXIS Walls'!$I$57</f>
        <v>596.5219172</v>
      </c>
      <c r="C68" s="383">
        <f t="shared" si="24"/>
        <v>-0.02672960831</v>
      </c>
      <c r="D68" s="328">
        <f t="shared" si="25"/>
        <v>3.47926299</v>
      </c>
      <c r="E68" s="384">
        <f t="shared" si="26"/>
        <v>0.001199745859</v>
      </c>
      <c r="F68" s="385">
        <f t="shared" si="27"/>
        <v>68.94865257</v>
      </c>
      <c r="G68" s="472">
        <f>IF('WAP for X-AXIS Walls'!L26=0,0,F68/('WAP for X-AXIS Walls'!L26*'WAP for Y-AXIS Walls'!$I$58))</f>
        <v>364.0544894</v>
      </c>
      <c r="H68" s="324">
        <f t="shared" si="28"/>
        <v>0.6102952447</v>
      </c>
      <c r="I68" s="386" t="str">
        <f t="shared" si="29"/>
        <v>OK</v>
      </c>
      <c r="J68" s="328">
        <f t="shared" si="30"/>
        <v>0.02672960831</v>
      </c>
      <c r="K68" s="328">
        <f t="shared" si="31"/>
        <v>3.532722206</v>
      </c>
      <c r="L68" s="384">
        <f t="shared" si="32"/>
        <v>0.001218180071</v>
      </c>
      <c r="M68" s="385">
        <f t="shared" si="33"/>
        <v>70.00805537</v>
      </c>
      <c r="N68" s="385">
        <f>IF('WAP for X-AXIS Walls'!L26=0,0,M68/('WAP for X-AXIS Walls'!L26*'WAP for X-AXIS Walls'!$I$58))</f>
        <v>369.6482223</v>
      </c>
      <c r="O68" s="324">
        <f t="shared" si="34"/>
        <v>0.6196724909</v>
      </c>
      <c r="P68" s="387" t="str">
        <f t="shared" si="35"/>
        <v>OK</v>
      </c>
      <c r="Q68" s="388"/>
      <c r="R68" s="328"/>
      <c r="S68" s="142">
        <f t="shared" si="36"/>
        <v>0.2582383017</v>
      </c>
      <c r="T68" s="385">
        <f t="shared" si="37"/>
        <v>69.47835397</v>
      </c>
      <c r="U68" s="385">
        <f>IF('WAP for X-AXIS Walls'!L26=0,0,T68/('WAP for X-AXIS Walls'!L26*'WAP for X-AXIS Walls'!$I$58))</f>
        <v>366.8513559</v>
      </c>
      <c r="V68" s="324">
        <f t="shared" si="38"/>
        <v>0.6149838678</v>
      </c>
      <c r="W68" s="386" t="str">
        <f t="shared" si="39"/>
        <v>OK</v>
      </c>
    </row>
    <row r="69">
      <c r="B69" s="382">
        <f>'WAP for X-AXIS Walls'!$I$63*'WAP for X-AXIS Walls'!$I$56*'WAP for X-AXIS Walls'!$I$57</f>
        <v>596.5219172</v>
      </c>
      <c r="C69" s="383">
        <f t="shared" si="24"/>
        <v>-0.02672960831</v>
      </c>
      <c r="D69" s="328">
        <f t="shared" si="25"/>
        <v>3.47926299</v>
      </c>
      <c r="E69" s="384">
        <f t="shared" si="26"/>
        <v>0.001199745859</v>
      </c>
      <c r="F69" s="385">
        <f t="shared" si="27"/>
        <v>78.35675844</v>
      </c>
      <c r="G69" s="472">
        <f>IF('WAP for X-AXIS Walls'!L27=0,0,F69/('WAP for X-AXIS Walls'!L27*'WAP for Y-AXIS Walls'!$I$58))</f>
        <v>393.0435504</v>
      </c>
      <c r="H69" s="324">
        <f t="shared" si="28"/>
        <v>0.6588920525</v>
      </c>
      <c r="I69" s="386" t="str">
        <f t="shared" si="29"/>
        <v>OK</v>
      </c>
      <c r="J69" s="328">
        <f t="shared" si="30"/>
        <v>0.02672960831</v>
      </c>
      <c r="K69" s="328">
        <f t="shared" si="31"/>
        <v>3.532722206</v>
      </c>
      <c r="L69" s="384">
        <f t="shared" si="32"/>
        <v>0.001218180071</v>
      </c>
      <c r="M69" s="385">
        <f t="shared" si="33"/>
        <v>79.56071771</v>
      </c>
      <c r="N69" s="385">
        <f>IF('WAP for X-AXIS Walls'!L27=0,0,M69/('WAP for X-AXIS Walls'!L27*'WAP for X-AXIS Walls'!$I$58))</f>
        <v>399.0827031</v>
      </c>
      <c r="O69" s="324">
        <f t="shared" si="34"/>
        <v>0.6690159934</v>
      </c>
      <c r="P69" s="387" t="str">
        <f t="shared" si="35"/>
        <v>OK</v>
      </c>
      <c r="Q69" s="391"/>
      <c r="R69" s="385"/>
      <c r="S69" s="142">
        <f t="shared" si="36"/>
        <v>0.293475151</v>
      </c>
      <c r="T69" s="385">
        <f t="shared" si="37"/>
        <v>78.95873807</v>
      </c>
      <c r="U69" s="385">
        <f>IF('WAP for X-AXIS Walls'!L27=0,0,T69/('WAP for X-AXIS Walls'!L27*'WAP for X-AXIS Walls'!$I$58))</f>
        <v>396.0631267</v>
      </c>
      <c r="V69" s="324">
        <f t="shared" si="38"/>
        <v>0.663954023</v>
      </c>
      <c r="W69" s="386" t="str">
        <f t="shared" si="39"/>
        <v>OK</v>
      </c>
    </row>
    <row r="70">
      <c r="B70" s="382">
        <f>'WAP for X-AXIS Walls'!$I$63*'WAP for X-AXIS Walls'!$I$56*'WAP for X-AXIS Walls'!$I$57</f>
        <v>596.5219172</v>
      </c>
      <c r="C70" s="383">
        <f t="shared" si="24"/>
        <v>-0.02672960831</v>
      </c>
      <c r="D70" s="328">
        <f t="shared" si="25"/>
        <v>3.47926299</v>
      </c>
      <c r="E70" s="384">
        <f t="shared" si="26"/>
        <v>0.001199745859</v>
      </c>
      <c r="F70" s="385">
        <f t="shared" si="27"/>
        <v>68.94865257</v>
      </c>
      <c r="G70" s="472">
        <f>IF('WAP for X-AXIS Walls'!L28=0,0,F70/('WAP for X-AXIS Walls'!L28*'WAP for Y-AXIS Walls'!$I$58))</f>
        <v>364.0544894</v>
      </c>
      <c r="H70" s="324">
        <f t="shared" si="28"/>
        <v>0.6102952447</v>
      </c>
      <c r="I70" s="386" t="str">
        <f t="shared" si="29"/>
        <v>OK</v>
      </c>
      <c r="J70" s="328">
        <f t="shared" si="30"/>
        <v>0.02672960831</v>
      </c>
      <c r="K70" s="328">
        <f t="shared" si="31"/>
        <v>3.532722206</v>
      </c>
      <c r="L70" s="384">
        <f t="shared" si="32"/>
        <v>0.001218180071</v>
      </c>
      <c r="M70" s="385">
        <f t="shared" si="33"/>
        <v>70.00805537</v>
      </c>
      <c r="N70" s="385">
        <f>IF('WAP for X-AXIS Walls'!L28=0,0,M70/('WAP for X-AXIS Walls'!L28*'WAP for X-AXIS Walls'!$I$58))</f>
        <v>369.6482223</v>
      </c>
      <c r="O70" s="324">
        <f t="shared" si="34"/>
        <v>0.6196724909</v>
      </c>
      <c r="P70" s="387" t="str">
        <f t="shared" si="35"/>
        <v>OK</v>
      </c>
      <c r="Q70" s="391"/>
      <c r="R70" s="385"/>
      <c r="S70" s="142">
        <f t="shared" si="36"/>
        <v>0.2582383017</v>
      </c>
      <c r="T70" s="385">
        <f t="shared" si="37"/>
        <v>69.47835397</v>
      </c>
      <c r="U70" s="385">
        <f>IF('WAP for X-AXIS Walls'!L28=0,0,T70/('WAP for X-AXIS Walls'!L28*'WAP for X-AXIS Walls'!$I$58))</f>
        <v>366.8513559</v>
      </c>
      <c r="V70" s="324">
        <f t="shared" si="38"/>
        <v>0.6149838678</v>
      </c>
      <c r="W70" s="386" t="str">
        <f t="shared" si="39"/>
        <v>OK</v>
      </c>
    </row>
    <row r="71">
      <c r="B71" s="382">
        <f>'WAP for X-AXIS Walls'!$I$63*'WAP for X-AXIS Walls'!$I$56*'WAP for X-AXIS Walls'!$I$57</f>
        <v>596.5219172</v>
      </c>
      <c r="C71" s="383">
        <f t="shared" si="24"/>
        <v>-0.02672960831</v>
      </c>
      <c r="D71" s="328">
        <f t="shared" si="25"/>
        <v>3.47926299</v>
      </c>
      <c r="E71" s="384">
        <f t="shared" si="26"/>
        <v>0.001199745859</v>
      </c>
      <c r="F71" s="385">
        <f t="shared" si="27"/>
        <v>25.37108239</v>
      </c>
      <c r="G71" s="472">
        <f>IF('WAP for X-AXIS Walls'!L29=0,0,F71/('WAP for X-AXIS Walls'!L29*'WAP for Y-AXIS Walls'!$I$58))</f>
        <v>195.7897049</v>
      </c>
      <c r="H71" s="324">
        <f t="shared" si="28"/>
        <v>0.3282187951</v>
      </c>
      <c r="I71" s="386" t="str">
        <f t="shared" si="29"/>
        <v>OK</v>
      </c>
      <c r="J71" s="328">
        <f t="shared" si="30"/>
        <v>0.02672960831</v>
      </c>
      <c r="K71" s="328">
        <f t="shared" si="31"/>
        <v>3.532722206</v>
      </c>
      <c r="L71" s="384">
        <f t="shared" si="32"/>
        <v>0.001218180071</v>
      </c>
      <c r="M71" s="385">
        <f t="shared" si="33"/>
        <v>25.76091155</v>
      </c>
      <c r="N71" s="385">
        <f>IF('WAP for X-AXIS Walls'!L29=0,0,M71/('WAP for X-AXIS Walls'!L29*'WAP for X-AXIS Walls'!$I$58))</f>
        <v>198.7980329</v>
      </c>
      <c r="O71" s="324">
        <f t="shared" si="34"/>
        <v>0.3332619091</v>
      </c>
      <c r="P71" s="387" t="str">
        <f t="shared" si="35"/>
        <v>OK</v>
      </c>
      <c r="Q71" s="391"/>
      <c r="R71" s="385"/>
      <c r="S71" s="142">
        <f t="shared" si="36"/>
        <v>0.09502412279</v>
      </c>
      <c r="T71" s="385">
        <f t="shared" si="37"/>
        <v>25.56599697</v>
      </c>
      <c r="U71" s="385">
        <f>IF('WAP for X-AXIS Walls'!L29=0,0,T71/('WAP for X-AXIS Walls'!L29*'WAP for X-AXIS Walls'!$I$58))</f>
        <v>197.2938689</v>
      </c>
      <c r="V71" s="324">
        <f t="shared" si="38"/>
        <v>0.3307403521</v>
      </c>
      <c r="W71" s="386" t="str">
        <f t="shared" si="39"/>
        <v>OK</v>
      </c>
    </row>
    <row r="72">
      <c r="B72" s="382"/>
      <c r="C72" s="383"/>
      <c r="D72" s="328"/>
      <c r="E72" s="384"/>
      <c r="F72" s="385"/>
      <c r="G72" s="472"/>
      <c r="H72" s="324"/>
      <c r="I72" s="386"/>
      <c r="J72" s="328"/>
      <c r="K72" s="328"/>
      <c r="L72" s="384"/>
      <c r="M72" s="385"/>
      <c r="N72" s="385"/>
      <c r="O72" s="324"/>
      <c r="P72" s="387"/>
      <c r="Q72" s="391">
        <f>'WAP for X-AXIS Walls'!O30/'WAP for X-AXIS Walls'!O38</f>
        <v>0.5</v>
      </c>
      <c r="R72" s="385">
        <f>SUM(R19:R23)</f>
        <v>76739.30633</v>
      </c>
      <c r="S72" s="142"/>
      <c r="T72" s="385"/>
      <c r="U72" s="385"/>
      <c r="V72" s="324"/>
      <c r="W72" s="386"/>
    </row>
    <row r="73">
      <c r="B73" s="382">
        <f>'WAP for X-AXIS Walls'!$I$63*'WAP for X-AXIS Walls'!$I$56*'WAP for X-AXIS Walls'!$I$57</f>
        <v>596.5219172</v>
      </c>
      <c r="C73" s="383">
        <f t="shared" ref="C73:C77" si="40">T25*$G$101*1000</f>
        <v>0.02672960831</v>
      </c>
      <c r="D73" s="328">
        <f t="shared" ref="D73:D77" si="41">C73+$F$42</f>
        <v>3.532722206</v>
      </c>
      <c r="E73" s="384">
        <f t="shared" ref="E73:E77" si="42">D73/G25/1000</f>
        <v>0.001218180071</v>
      </c>
      <c r="F73" s="385">
        <f t="shared" ref="F73:F77" si="43">R25*D73/1000*$F$65</f>
        <v>25.76091155</v>
      </c>
      <c r="G73" s="472">
        <f>IF('WAP for X-AXIS Walls'!L31=0,0,F73/('WAP for X-AXIS Walls'!L31*'WAP for Y-AXIS Walls'!$I$58))</f>
        <v>198.7980329</v>
      </c>
      <c r="H73" s="324">
        <f t="shared" ref="H73:H77" si="44">G73/B73</f>
        <v>0.3332619091</v>
      </c>
      <c r="I73" s="386" t="str">
        <f t="shared" ref="I73:I77" si="45">if(H73&lt;=1,"OK","NG")</f>
        <v>OK</v>
      </c>
      <c r="J73" s="328">
        <f t="shared" ref="J73:J77" si="46">T25*$R$101*1000</f>
        <v>-0.02672960831</v>
      </c>
      <c r="K73" s="328">
        <f t="shared" ref="K73:K77" si="47">J73+$F$42</f>
        <v>3.47926299</v>
      </c>
      <c r="L73" s="384">
        <f t="shared" ref="L73:L77" si="48">K73/G25/1000</f>
        <v>0.001199745859</v>
      </c>
      <c r="M73" s="385">
        <f t="shared" ref="M73:M77" si="49">R25*K73/1000*$M$65</f>
        <v>25.37108239</v>
      </c>
      <c r="N73" s="385">
        <f>IF('WAP for X-AXIS Walls'!L31=0,0,M73/('WAP for X-AXIS Walls'!L31*'WAP for X-AXIS Walls'!$I$58))</f>
        <v>195.7897049</v>
      </c>
      <c r="O73" s="324">
        <f t="shared" ref="O73:O77" si="50">N73/B73</f>
        <v>0.3282187951</v>
      </c>
      <c r="P73" s="387" t="str">
        <f t="shared" ref="P73:P77" si="51">if(O73&lt;=1,"OK","NG")</f>
        <v>OK</v>
      </c>
      <c r="Q73" s="391"/>
      <c r="R73" s="385" t="str">
        <f>R24</f>
        <v/>
      </c>
      <c r="S73" s="142">
        <f t="shared" ref="S73:S77" si="52">R25/$R$78</f>
        <v>0.09502412279</v>
      </c>
      <c r="T73" s="385">
        <f t="shared" ref="T73:T77" si="53">$Q$78*$S73*$T$65*$R$99</f>
        <v>25.56599697</v>
      </c>
      <c r="U73" s="385">
        <f>IF('WAP for X-AXIS Walls'!L31=0,0,T73/('WAP for X-AXIS Walls'!L31*'WAP for X-AXIS Walls'!$I$58))</f>
        <v>197.2938689</v>
      </c>
      <c r="V73" s="324">
        <f t="shared" ref="V73:V77" si="54">U73/B73</f>
        <v>0.3307403521</v>
      </c>
      <c r="W73" s="386" t="str">
        <f t="shared" ref="W73:W77" si="55">if(V73&lt;=1,"OK","NG")</f>
        <v>OK</v>
      </c>
    </row>
    <row r="74">
      <c r="B74" s="382">
        <f>'WAP for X-AXIS Walls'!$I$63*'WAP for X-AXIS Walls'!$I$56*'WAP for X-AXIS Walls'!$I$57</f>
        <v>596.5219172</v>
      </c>
      <c r="C74" s="383">
        <f t="shared" si="40"/>
        <v>0.02672960831</v>
      </c>
      <c r="D74" s="328">
        <f t="shared" si="41"/>
        <v>3.532722206</v>
      </c>
      <c r="E74" s="384">
        <f t="shared" si="42"/>
        <v>0.001218180071</v>
      </c>
      <c r="F74" s="385">
        <f t="shared" si="43"/>
        <v>70.00805537</v>
      </c>
      <c r="G74" s="472">
        <f>IF('WAP for X-AXIS Walls'!L32=0,0,F74/('WAP for X-AXIS Walls'!L32*'WAP for Y-AXIS Walls'!$I$58))</f>
        <v>369.6482223</v>
      </c>
      <c r="H74" s="324">
        <f t="shared" si="44"/>
        <v>0.6196724909</v>
      </c>
      <c r="I74" s="386" t="str">
        <f t="shared" si="45"/>
        <v>OK</v>
      </c>
      <c r="J74" s="328">
        <f t="shared" si="46"/>
        <v>-0.02672960831</v>
      </c>
      <c r="K74" s="328">
        <f t="shared" si="47"/>
        <v>3.47926299</v>
      </c>
      <c r="L74" s="384">
        <f t="shared" si="48"/>
        <v>0.001199745859</v>
      </c>
      <c r="M74" s="385">
        <f t="shared" si="49"/>
        <v>68.94865257</v>
      </c>
      <c r="N74" s="385">
        <f>IF('WAP for X-AXIS Walls'!L32=0,0,M74/('WAP for X-AXIS Walls'!L32*'WAP for X-AXIS Walls'!$I$58))</f>
        <v>364.0544894</v>
      </c>
      <c r="O74" s="324">
        <f t="shared" si="50"/>
        <v>0.6102952447</v>
      </c>
      <c r="P74" s="387" t="str">
        <f t="shared" si="51"/>
        <v>OK</v>
      </c>
      <c r="Q74" s="391"/>
      <c r="R74" s="385"/>
      <c r="S74" s="142">
        <f t="shared" si="52"/>
        <v>0.2582383017</v>
      </c>
      <c r="T74" s="385">
        <f t="shared" si="53"/>
        <v>69.47835397</v>
      </c>
      <c r="U74" s="385">
        <f>IF('WAP for X-AXIS Walls'!L32=0,0,T74/('WAP for X-AXIS Walls'!L32*'WAP for X-AXIS Walls'!$I$58))</f>
        <v>366.8513559</v>
      </c>
      <c r="V74" s="324">
        <f t="shared" si="54"/>
        <v>0.6149838678</v>
      </c>
      <c r="W74" s="386" t="str">
        <f t="shared" si="55"/>
        <v>OK</v>
      </c>
    </row>
    <row r="75">
      <c r="B75" s="382">
        <f>'WAP for X-AXIS Walls'!$I$63*'WAP for X-AXIS Walls'!$I$56*'WAP for X-AXIS Walls'!$I$57</f>
        <v>596.5219172</v>
      </c>
      <c r="C75" s="383">
        <f t="shared" si="40"/>
        <v>0.02672960831</v>
      </c>
      <c r="D75" s="328">
        <f t="shared" si="41"/>
        <v>3.532722206</v>
      </c>
      <c r="E75" s="384">
        <f t="shared" si="42"/>
        <v>0.001218180071</v>
      </c>
      <c r="F75" s="385">
        <f t="shared" si="43"/>
        <v>79.56071771</v>
      </c>
      <c r="G75" s="472">
        <f>IF('WAP for X-AXIS Walls'!L33=0,0,F75/('WAP for X-AXIS Walls'!L33*'WAP for Y-AXIS Walls'!$I$58))</f>
        <v>399.0827031</v>
      </c>
      <c r="H75" s="324">
        <f t="shared" si="44"/>
        <v>0.6690159934</v>
      </c>
      <c r="I75" s="386" t="str">
        <f t="shared" si="45"/>
        <v>OK</v>
      </c>
      <c r="J75" s="328">
        <f t="shared" si="46"/>
        <v>-0.02672960831</v>
      </c>
      <c r="K75" s="328">
        <f t="shared" si="47"/>
        <v>3.47926299</v>
      </c>
      <c r="L75" s="384">
        <f t="shared" si="48"/>
        <v>0.001199745859</v>
      </c>
      <c r="M75" s="385">
        <f t="shared" si="49"/>
        <v>78.35675844</v>
      </c>
      <c r="N75" s="385">
        <f>IF('WAP for X-AXIS Walls'!L33=0,0,M75/('WAP for X-AXIS Walls'!L33*'WAP for X-AXIS Walls'!$I$58))</f>
        <v>393.0435504</v>
      </c>
      <c r="O75" s="324">
        <f t="shared" si="50"/>
        <v>0.6588920525</v>
      </c>
      <c r="P75" s="387" t="str">
        <f t="shared" si="51"/>
        <v>OK</v>
      </c>
      <c r="Q75" s="391"/>
      <c r="R75" s="385"/>
      <c r="S75" s="142">
        <f t="shared" si="52"/>
        <v>0.293475151</v>
      </c>
      <c r="T75" s="385">
        <f t="shared" si="53"/>
        <v>78.95873807</v>
      </c>
      <c r="U75" s="385">
        <f>IF('WAP for X-AXIS Walls'!L33=0,0,T75/('WAP for X-AXIS Walls'!L33*'WAP for X-AXIS Walls'!$I$58))</f>
        <v>396.0631267</v>
      </c>
      <c r="V75" s="324">
        <f t="shared" si="54"/>
        <v>0.663954023</v>
      </c>
      <c r="W75" s="386" t="str">
        <f t="shared" si="55"/>
        <v>OK</v>
      </c>
    </row>
    <row r="76">
      <c r="B76" s="382">
        <f>'WAP for X-AXIS Walls'!$I$63*'WAP for X-AXIS Walls'!$I$56*'WAP for X-AXIS Walls'!$I$57</f>
        <v>596.5219172</v>
      </c>
      <c r="C76" s="383">
        <f t="shared" si="40"/>
        <v>0.02672960831</v>
      </c>
      <c r="D76" s="328">
        <f t="shared" si="41"/>
        <v>3.532722206</v>
      </c>
      <c r="E76" s="384">
        <f t="shared" si="42"/>
        <v>0.001218180071</v>
      </c>
      <c r="F76" s="385">
        <f t="shared" si="43"/>
        <v>70.00805537</v>
      </c>
      <c r="G76" s="472">
        <f>IF('WAP for X-AXIS Walls'!L34=0,0,F76/('WAP for X-AXIS Walls'!L34*'WAP for Y-AXIS Walls'!$I$58))</f>
        <v>369.6482223</v>
      </c>
      <c r="H76" s="324">
        <f t="shared" si="44"/>
        <v>0.6196724909</v>
      </c>
      <c r="I76" s="386" t="str">
        <f t="shared" si="45"/>
        <v>OK</v>
      </c>
      <c r="J76" s="328">
        <f t="shared" si="46"/>
        <v>-0.02672960831</v>
      </c>
      <c r="K76" s="328">
        <f t="shared" si="47"/>
        <v>3.47926299</v>
      </c>
      <c r="L76" s="384">
        <f t="shared" si="48"/>
        <v>0.001199745859</v>
      </c>
      <c r="M76" s="385">
        <f t="shared" si="49"/>
        <v>68.94865257</v>
      </c>
      <c r="N76" s="385">
        <f>IF('WAP for X-AXIS Walls'!L34=0,0,M76/('WAP for X-AXIS Walls'!L34*'WAP for X-AXIS Walls'!$I$58))</f>
        <v>364.0544894</v>
      </c>
      <c r="O76" s="324">
        <f t="shared" si="50"/>
        <v>0.6102952447</v>
      </c>
      <c r="P76" s="387" t="str">
        <f t="shared" si="51"/>
        <v>OK</v>
      </c>
      <c r="Q76" s="391"/>
      <c r="R76" s="385"/>
      <c r="S76" s="142">
        <f t="shared" si="52"/>
        <v>0.2582383017</v>
      </c>
      <c r="T76" s="385">
        <f t="shared" si="53"/>
        <v>69.47835397</v>
      </c>
      <c r="U76" s="385">
        <f>IF('WAP for X-AXIS Walls'!L34=0,0,T76/('WAP for X-AXIS Walls'!L34*'WAP for X-AXIS Walls'!$I$58))</f>
        <v>366.8513559</v>
      </c>
      <c r="V76" s="324">
        <f t="shared" si="54"/>
        <v>0.6149838678</v>
      </c>
      <c r="W76" s="386" t="str">
        <f t="shared" si="55"/>
        <v>OK</v>
      </c>
    </row>
    <row r="77">
      <c r="B77" s="382">
        <f>'WAP for X-AXIS Walls'!$I$63*'WAP for X-AXIS Walls'!$I$56*'WAP for X-AXIS Walls'!$I$57</f>
        <v>596.5219172</v>
      </c>
      <c r="C77" s="383">
        <f t="shared" si="40"/>
        <v>0.02672960831</v>
      </c>
      <c r="D77" s="328">
        <f t="shared" si="41"/>
        <v>3.532722206</v>
      </c>
      <c r="E77" s="384">
        <f t="shared" si="42"/>
        <v>0.001218180071</v>
      </c>
      <c r="F77" s="385">
        <f t="shared" si="43"/>
        <v>25.76091155</v>
      </c>
      <c r="G77" s="472">
        <f>IF('WAP for X-AXIS Walls'!L35=0,0,F77/('WAP for X-AXIS Walls'!L35*'WAP for Y-AXIS Walls'!$I$58))</f>
        <v>198.7980329</v>
      </c>
      <c r="H77" s="324">
        <f t="shared" si="44"/>
        <v>0.3332619091</v>
      </c>
      <c r="I77" s="386" t="str">
        <f t="shared" si="45"/>
        <v>OK</v>
      </c>
      <c r="J77" s="328">
        <f t="shared" si="46"/>
        <v>-0.02672960831</v>
      </c>
      <c r="K77" s="328">
        <f t="shared" si="47"/>
        <v>3.47926299</v>
      </c>
      <c r="L77" s="384">
        <f t="shared" si="48"/>
        <v>0.001199745859</v>
      </c>
      <c r="M77" s="385">
        <f t="shared" si="49"/>
        <v>25.37108239</v>
      </c>
      <c r="N77" s="385">
        <f>IF('WAP for X-AXIS Walls'!L35=0,0,M77/('WAP for X-AXIS Walls'!L35*'WAP for X-AXIS Walls'!$I$58))</f>
        <v>195.7897049</v>
      </c>
      <c r="O77" s="324">
        <f t="shared" si="50"/>
        <v>0.3282187951</v>
      </c>
      <c r="P77" s="387" t="str">
        <f t="shared" si="51"/>
        <v>OK</v>
      </c>
      <c r="Q77" s="391"/>
      <c r="R77" s="385"/>
      <c r="S77" s="142">
        <f t="shared" si="52"/>
        <v>0.09502412279</v>
      </c>
      <c r="T77" s="385">
        <f t="shared" si="53"/>
        <v>25.56599697</v>
      </c>
      <c r="U77" s="385">
        <f>IF('WAP for X-AXIS Walls'!L35=0,0,T77/('WAP for X-AXIS Walls'!L35*'WAP for X-AXIS Walls'!$I$58))</f>
        <v>197.2938689</v>
      </c>
      <c r="V77" s="324">
        <f t="shared" si="54"/>
        <v>0.3307403521</v>
      </c>
      <c r="W77" s="386" t="str">
        <f t="shared" si="55"/>
        <v>OK</v>
      </c>
    </row>
    <row r="78">
      <c r="B78" s="392"/>
      <c r="C78" s="383"/>
      <c r="D78" s="328"/>
      <c r="E78" s="82"/>
      <c r="F78" s="393"/>
      <c r="G78" s="82"/>
      <c r="H78" s="82"/>
      <c r="I78" s="145"/>
      <c r="J78" s="328"/>
      <c r="K78" s="82"/>
      <c r="L78" s="82"/>
      <c r="M78" s="393"/>
      <c r="N78" s="82"/>
      <c r="O78" s="82"/>
      <c r="P78" s="82"/>
      <c r="Q78" s="391">
        <f>'WAP for X-AXIS Walls'!O36/'WAP for X-AXIS Walls'!O38</f>
        <v>0.5</v>
      </c>
      <c r="R78" s="385">
        <f>sum(R25:R29)</f>
        <v>76739.30633</v>
      </c>
      <c r="W78" s="284"/>
    </row>
    <row r="79">
      <c r="B79" s="392"/>
      <c r="C79" s="345"/>
      <c r="D79" s="127"/>
      <c r="E79" s="127"/>
      <c r="F79" s="394"/>
      <c r="G79" s="127"/>
      <c r="H79" s="127"/>
      <c r="I79" s="128"/>
      <c r="J79" s="347"/>
      <c r="K79" s="347"/>
      <c r="L79" s="127"/>
      <c r="M79" s="394"/>
      <c r="N79" s="347"/>
      <c r="O79" s="127"/>
      <c r="P79" s="127"/>
      <c r="Q79" s="395"/>
      <c r="R79" s="127"/>
      <c r="S79" s="170"/>
      <c r="T79" s="394"/>
      <c r="U79" s="127"/>
      <c r="V79" s="127"/>
      <c r="W79" s="128"/>
    </row>
    <row r="80">
      <c r="B80" s="396"/>
      <c r="C80" s="397"/>
      <c r="D80" s="347">
        <f>(min(D67:D79)+max(D67:D79))/2</f>
        <v>3.505992598</v>
      </c>
      <c r="E80" s="315" t="s">
        <v>449</v>
      </c>
      <c r="F80" s="394">
        <f>sum(F67:F79)</f>
        <v>538.0948799</v>
      </c>
      <c r="G80" s="394">
        <f>F80/'WAP for X-AXIS Walls'!L38/'WAP for X-AXIS Walls'!I58</f>
        <v>321.3244601</v>
      </c>
      <c r="H80" s="347">
        <f>G80/G81</f>
        <v>0.8079949391</v>
      </c>
      <c r="I80" s="128" t="str">
        <f>if(H80&lt;=1,"OK","NG")</f>
        <v>OK</v>
      </c>
      <c r="J80" s="398"/>
      <c r="K80" s="347">
        <f>(min(K67:K79)+max(K67:K79))/2</f>
        <v>3.505992598</v>
      </c>
      <c r="L80" s="399" t="s">
        <v>449</v>
      </c>
      <c r="M80" s="394">
        <f>sum(M67:M79)</f>
        <v>538.0948799</v>
      </c>
      <c r="N80" s="394">
        <f>M80/'WAP for X-AXIS Walls'!L38/'WAP for X-AXIS Walls'!I58</f>
        <v>321.3244601</v>
      </c>
      <c r="O80" s="347">
        <f>N80/N81</f>
        <v>0.8079949391</v>
      </c>
      <c r="P80" s="127" t="str">
        <f>if(O80&lt;=1,"OK","NG")</f>
        <v>OK</v>
      </c>
      <c r="Q80" s="400">
        <f t="shared" ref="Q80:R80" si="56">sum(Q67:Q79)</f>
        <v>1</v>
      </c>
      <c r="R80" s="401">
        <f t="shared" si="56"/>
        <v>153478.6127</v>
      </c>
      <c r="S80" s="402"/>
      <c r="T80" s="394">
        <f>sum(T67:T79)</f>
        <v>538.0948799</v>
      </c>
      <c r="U80" s="394">
        <f>T80/'WAP for X-AXIS Walls'!L38/'WAP for X-AXIS Walls'!I58*'WAP for X-AXIS Walls'!I64</f>
        <v>481.9866902</v>
      </c>
      <c r="V80" s="347">
        <f>U80/U81</f>
        <v>0.8079949391</v>
      </c>
      <c r="W80" s="128" t="str">
        <f t="shared" ref="W80:W83" si="57">if(V80&lt;=1,"OK","NG")</f>
        <v>OK</v>
      </c>
    </row>
    <row r="81">
      <c r="C81" s="327"/>
      <c r="D81" s="447">
        <f>max(D67:D79)</f>
        <v>3.532722206</v>
      </c>
      <c r="E81" s="76" t="s">
        <v>450</v>
      </c>
      <c r="F81" s="393">
        <f>G99*F65</f>
        <v>538.0948799</v>
      </c>
      <c r="G81" s="393">
        <f>'WAP for X-AXIS Walls'!I63* 'WAP for X-AXIS Walls'!I56/ 'WAP for X-AXIS Walls'!I64*'WAP for X-AXIS Walls'!I57</f>
        <v>397.6812781</v>
      </c>
      <c r="H81" s="408">
        <f>'WAP for X-AXIS Walls'!I77</f>
        <v>0.8079949391</v>
      </c>
      <c r="I81" s="68"/>
      <c r="J81" s="68"/>
      <c r="K81" s="447">
        <f>max(K67:K79)</f>
        <v>3.532722206</v>
      </c>
      <c r="L81" s="406" t="s">
        <v>450</v>
      </c>
      <c r="M81" s="393">
        <f>R99*M65</f>
        <v>538.0948799</v>
      </c>
      <c r="N81" s="393">
        <f>'WAP for X-AXIS Walls'!I63* 'WAP for X-AXIS Walls'!I56/ 'WAP for X-AXIS Walls'!I64*'WAP for X-AXIS Walls'!I57</f>
        <v>397.6812781</v>
      </c>
      <c r="O81" s="408">
        <f>'WAP for X-AXIS Walls'!I77</f>
        <v>0.8079949391</v>
      </c>
      <c r="P81" s="71" t="s">
        <v>451</v>
      </c>
      <c r="Q81" s="387"/>
      <c r="R81" s="68"/>
      <c r="S81" s="77" t="s">
        <v>452</v>
      </c>
      <c r="T81" s="393">
        <f>T80/'WAP for X-AXIS Walls'!L38/'WAP for X-AXIS Walls'!I58</f>
        <v>321.3244601</v>
      </c>
      <c r="U81" s="407">
        <f>'WAP for X-AXIS Walls'!I56*'WAP for X-AXIS Walls'!I63*'WAP for X-AXIS Walls'!I57</f>
        <v>596.5219172</v>
      </c>
      <c r="V81" s="408">
        <f>T81/U81</f>
        <v>0.5386632928</v>
      </c>
      <c r="W81" s="407" t="str">
        <f t="shared" si="57"/>
        <v>OK</v>
      </c>
    </row>
    <row r="82">
      <c r="C82" s="68"/>
      <c r="D82" s="328">
        <f>D81/D80</f>
        <v>1.007623977</v>
      </c>
      <c r="E82" s="80" t="s">
        <v>453</v>
      </c>
      <c r="F82" s="68"/>
      <c r="G82" s="410"/>
      <c r="H82" s="328">
        <f>MAX(H67:H79)</f>
        <v>0.6690159934</v>
      </c>
      <c r="I82" s="68"/>
      <c r="J82" s="68"/>
      <c r="K82" s="328">
        <f>K81/K80</f>
        <v>1.007623977</v>
      </c>
      <c r="L82" s="80" t="s">
        <v>453</v>
      </c>
      <c r="M82" s="68"/>
      <c r="N82" s="410"/>
      <c r="O82" s="328">
        <f>MAX(O67:O79)</f>
        <v>0.6690159934</v>
      </c>
      <c r="P82" s="68"/>
      <c r="Q82" s="328"/>
      <c r="R82" s="68"/>
      <c r="S82" s="68"/>
      <c r="T82" s="68"/>
      <c r="U82" s="68"/>
      <c r="V82" s="408">
        <f>'WAP for X-AXIS Walls'!I77</f>
        <v>0.8079949391</v>
      </c>
      <c r="W82" s="407" t="str">
        <f t="shared" si="57"/>
        <v>OK</v>
      </c>
    </row>
    <row r="83">
      <c r="C83" s="82"/>
      <c r="D83" s="97">
        <f>min(max(1,(D81/1.2/D80)^2),3)</f>
        <v>1</v>
      </c>
      <c r="E83" s="71" t="s">
        <v>454</v>
      </c>
      <c r="F83" s="68"/>
      <c r="G83" s="68"/>
      <c r="H83" s="68"/>
      <c r="I83" s="68"/>
      <c r="J83" s="68"/>
      <c r="K83" s="97">
        <f>min(max(1,(K81/1.2/K80)^2),3)</f>
        <v>1</v>
      </c>
      <c r="L83" s="71" t="s">
        <v>454</v>
      </c>
      <c r="M83" s="68"/>
      <c r="N83" s="114"/>
      <c r="O83" s="68"/>
      <c r="P83" s="68"/>
      <c r="Q83" s="68"/>
      <c r="R83" s="68"/>
      <c r="S83" s="68"/>
      <c r="T83" s="68"/>
      <c r="U83" s="68"/>
      <c r="V83" s="97">
        <f>max(V67:V79)</f>
        <v>0.663954023</v>
      </c>
      <c r="W83" s="407" t="str">
        <f t="shared" si="57"/>
        <v>OK</v>
      </c>
    </row>
    <row r="84">
      <c r="C84" s="82"/>
      <c r="D84" s="82"/>
      <c r="E84" s="71" t="s">
        <v>455</v>
      </c>
      <c r="F84" s="68"/>
      <c r="G84" s="68"/>
      <c r="H84" s="68"/>
      <c r="I84" s="68"/>
      <c r="J84" s="68"/>
      <c r="K84" s="328"/>
      <c r="L84" s="71" t="s">
        <v>455</v>
      </c>
      <c r="M84" s="68"/>
      <c r="N84" s="114"/>
      <c r="O84" s="68"/>
      <c r="P84" s="68"/>
      <c r="Q84" s="68"/>
      <c r="R84" s="68"/>
      <c r="S84" s="68"/>
      <c r="T84" s="68"/>
      <c r="U84" s="68"/>
      <c r="V84" s="68"/>
      <c r="W84" s="68"/>
    </row>
    <row r="85">
      <c r="B85" s="82"/>
      <c r="C85" s="411"/>
      <c r="D85" s="406"/>
      <c r="E85" s="412" t="str">
        <f>if(D82&lt;1,"ERREUR &lt;1",if(D82&lt;=1.2,"Pas d'irrégularité torsionnelle, Max/Moy &lt;1.2",if(D82&lt;=1.4,"Irrégularité torsionnelle 1a, Max/Moy=1.2-1.4","Irrégularité torsionnelle extrême 1b, Max/Moy&gt;1.4")))</f>
        <v>Pas d'irrégularité torsionnelle, Max/Moy &lt;1.2</v>
      </c>
      <c r="F85" s="114" t="s">
        <v>456</v>
      </c>
      <c r="G85" s="114"/>
      <c r="H85" s="68"/>
      <c r="K85" s="411"/>
      <c r="L85" s="68"/>
      <c r="M85" s="68"/>
      <c r="N85" s="412" t="str">
        <f>if(K82&lt;1,"ERROR &lt;1",if(K82&lt;=1.2,"Pas d'irrégularité torsionnelle, Max/Moy &lt;1.2",if(K82&lt;=1.4,"Irrégularité torsionnelle 1a, Max/Moy=1.2-1.4","Irrégularité torsionnelle extrême 1b, Max/Moy&gt;1.4")))</f>
        <v>Pas d'irrégularité torsionnelle, Max/Moy &lt;1.2</v>
      </c>
      <c r="O85" s="114" t="s">
        <v>456</v>
      </c>
      <c r="P85" s="114"/>
      <c r="Q85" s="68"/>
      <c r="R85" s="68"/>
      <c r="S85" s="68"/>
      <c r="T85" s="68"/>
    </row>
    <row r="86">
      <c r="C86" s="82"/>
      <c r="D86" s="68"/>
      <c r="E86" s="68"/>
      <c r="F86" s="414"/>
      <c r="G86" s="406"/>
      <c r="H86" s="68"/>
      <c r="I86" s="68"/>
      <c r="J86" s="68"/>
      <c r="N86" s="68"/>
      <c r="O86" s="68"/>
      <c r="P86" s="68"/>
      <c r="Q86" s="410"/>
      <c r="R86" s="415"/>
      <c r="S86" s="68"/>
      <c r="T86" s="68"/>
      <c r="U86" s="410"/>
      <c r="V86" s="68"/>
      <c r="W86" s="68"/>
    </row>
    <row r="87" ht="15.0" customHeight="1">
      <c r="F87" s="416" t="s">
        <v>457</v>
      </c>
      <c r="G87" s="417">
        <f>if(and('WAP for X-AXIS Walls'!D12="Légère",'WAP for X-AXIS Walls'!E10="Niveau supérieur"),0.05,0.05)</f>
        <v>0.05</v>
      </c>
      <c r="H87" s="71" t="s">
        <v>458</v>
      </c>
      <c r="I87" s="68"/>
      <c r="J87" s="68"/>
      <c r="N87" s="68"/>
      <c r="O87" s="68"/>
      <c r="Q87" s="416" t="s">
        <v>457</v>
      </c>
      <c r="R87" s="417">
        <f>if(and('WAP for X-AXIS Walls'!D12="Légère",'WAP for X-AXIS Walls'!E10="Niveau supérieur"),0.05,0.05)</f>
        <v>0.05</v>
      </c>
      <c r="S87" s="71" t="s">
        <v>458</v>
      </c>
      <c r="T87" s="68"/>
      <c r="V87" s="68"/>
      <c r="W87" s="68"/>
    </row>
    <row r="88" ht="16.5" customHeight="1">
      <c r="F88" s="416" t="s">
        <v>460</v>
      </c>
      <c r="G88" s="75">
        <v>1.0</v>
      </c>
      <c r="H88" s="71" t="s">
        <v>461</v>
      </c>
      <c r="I88" s="68"/>
      <c r="J88" s="68"/>
      <c r="N88" s="68"/>
      <c r="O88" s="68"/>
      <c r="Q88" s="416" t="s">
        <v>460</v>
      </c>
      <c r="R88" s="75">
        <v>1.0</v>
      </c>
      <c r="S88" s="71" t="s">
        <v>461</v>
      </c>
      <c r="T88" s="68"/>
      <c r="V88" s="68"/>
      <c r="W88" s="68"/>
    </row>
    <row r="89">
      <c r="F89" s="416" t="s">
        <v>457</v>
      </c>
      <c r="G89" s="418">
        <f>G87*G88</f>
        <v>0.05</v>
      </c>
      <c r="H89" s="80" t="s">
        <v>463</v>
      </c>
      <c r="I89" s="43"/>
      <c r="J89" s="68"/>
      <c r="N89" s="68"/>
      <c r="O89" s="68"/>
      <c r="Q89" s="416" t="s">
        <v>457</v>
      </c>
      <c r="R89" s="418">
        <f>R87*R88</f>
        <v>0.05</v>
      </c>
      <c r="S89" s="80" t="s">
        <v>463</v>
      </c>
      <c r="T89" s="43"/>
      <c r="V89" s="68"/>
      <c r="W89" s="68"/>
    </row>
    <row r="90" ht="17.25" customHeight="1">
      <c r="F90" s="419" t="s">
        <v>465</v>
      </c>
      <c r="G90" s="82">
        <f>if('WAP for Y-AXIS Walls'!D12="Légère",lookup('WAP for Y-AXIS Walls'!D8,Reference!$B$37:$B$42,Reference!$K$37:$K$42),1)</f>
        <v>1</v>
      </c>
      <c r="H90" s="71" t="s">
        <v>466</v>
      </c>
      <c r="I90" s="68"/>
      <c r="J90" s="68"/>
      <c r="N90" s="68"/>
      <c r="O90" s="68"/>
      <c r="Q90" s="419" t="s">
        <v>465</v>
      </c>
      <c r="R90" s="82">
        <f>if('WAP for Y-AXIS Walls'!D12="Légère",lookup('WAP for Y-AXIS Walls'!D8,Reference!$B$37:$B$42,Reference!$K$37:$K$42),1)</f>
        <v>1</v>
      </c>
      <c r="S90" s="71" t="s">
        <v>466</v>
      </c>
      <c r="T90" s="68"/>
      <c r="V90" s="68"/>
      <c r="W90" s="68"/>
    </row>
    <row r="91">
      <c r="F91" s="68"/>
      <c r="G91" s="68"/>
      <c r="H91" s="68"/>
      <c r="I91" s="68"/>
      <c r="J91" s="68"/>
      <c r="K91" s="68"/>
      <c r="N91" s="68"/>
      <c r="O91" s="68"/>
      <c r="Q91" s="68"/>
      <c r="R91" s="68"/>
      <c r="S91" s="68"/>
      <c r="T91" s="68"/>
      <c r="U91" s="68"/>
      <c r="V91" s="68"/>
      <c r="W91" s="68"/>
    </row>
    <row r="92">
      <c r="F92" s="421" t="s">
        <v>467</v>
      </c>
      <c r="G92" s="364"/>
      <c r="H92" s="364"/>
      <c r="I92" s="364"/>
      <c r="J92" s="68"/>
      <c r="K92" s="68"/>
      <c r="N92" s="68"/>
      <c r="O92" s="421" t="s">
        <v>468</v>
      </c>
      <c r="Q92" s="422"/>
      <c r="R92" s="422"/>
      <c r="S92" s="364"/>
      <c r="T92" s="48"/>
      <c r="U92" s="68"/>
      <c r="V92" s="68"/>
      <c r="W92" s="68"/>
    </row>
    <row r="93">
      <c r="F93" s="68"/>
      <c r="G93" s="48"/>
      <c r="H93" s="82"/>
      <c r="I93" s="68"/>
      <c r="J93" s="68"/>
      <c r="K93" s="68"/>
      <c r="N93" s="68"/>
      <c r="O93" s="68"/>
      <c r="Q93" s="68"/>
      <c r="R93" s="68"/>
      <c r="S93" s="68"/>
      <c r="T93" s="48"/>
      <c r="U93" s="68"/>
      <c r="V93" s="68"/>
      <c r="W93" s="68"/>
    </row>
    <row r="94">
      <c r="E94" s="423"/>
      <c r="F94" s="423" t="s">
        <v>469</v>
      </c>
      <c r="G94" s="384">
        <f>G89</f>
        <v>0.05</v>
      </c>
      <c r="H94" s="80" t="s">
        <v>512</v>
      </c>
      <c r="I94" s="68"/>
      <c r="J94" s="68"/>
      <c r="K94" s="68"/>
      <c r="N94" s="68"/>
      <c r="Q94" s="423" t="s">
        <v>471</v>
      </c>
      <c r="R94" s="384">
        <f>R89</f>
        <v>0.05</v>
      </c>
      <c r="S94" s="80" t="s">
        <v>512</v>
      </c>
      <c r="T94" s="68"/>
      <c r="U94" s="68"/>
      <c r="V94" s="68"/>
      <c r="W94" s="68"/>
    </row>
    <row r="95">
      <c r="E95" s="416"/>
      <c r="F95" s="416" t="s">
        <v>472</v>
      </c>
      <c r="G95" s="328">
        <f>G94*$D$9</f>
        <v>0.185</v>
      </c>
      <c r="H95" s="43" t="s">
        <v>84</v>
      </c>
      <c r="I95" s="71" t="s">
        <v>473</v>
      </c>
      <c r="J95" s="68"/>
      <c r="K95" s="68"/>
      <c r="N95" s="68"/>
      <c r="Q95" s="416" t="s">
        <v>474</v>
      </c>
      <c r="R95" s="328">
        <f>-R94*$D$9</f>
        <v>-0.185</v>
      </c>
      <c r="S95" s="43" t="s">
        <v>84</v>
      </c>
      <c r="T95" s="71" t="s">
        <v>473</v>
      </c>
      <c r="U95" s="68"/>
      <c r="V95" s="68"/>
      <c r="W95" s="68"/>
    </row>
    <row r="96">
      <c r="E96" s="419"/>
      <c r="F96" s="419" t="s">
        <v>475</v>
      </c>
      <c r="G96" s="97">
        <f>F43+G95</f>
        <v>1.935</v>
      </c>
      <c r="H96" s="71" t="s">
        <v>476</v>
      </c>
      <c r="I96" s="473"/>
      <c r="J96" s="71"/>
      <c r="K96" s="68"/>
      <c r="N96" s="68"/>
      <c r="Q96" s="419" t="s">
        <v>475</v>
      </c>
      <c r="R96" s="97">
        <f>F43+R95</f>
        <v>1.565</v>
      </c>
      <c r="S96" s="71" t="s">
        <v>477</v>
      </c>
      <c r="T96" s="473"/>
      <c r="U96" s="71"/>
      <c r="V96" s="68"/>
      <c r="W96" s="68"/>
    </row>
    <row r="97">
      <c r="E97" s="423" t="s">
        <v>478</v>
      </c>
      <c r="G97" s="135">
        <f>G96-F41</f>
        <v>0.185</v>
      </c>
      <c r="H97" s="80" t="s">
        <v>84</v>
      </c>
      <c r="I97" s="71"/>
      <c r="J97" s="68"/>
      <c r="K97" s="68"/>
      <c r="N97" s="68"/>
      <c r="Q97" s="419" t="s">
        <v>478</v>
      </c>
      <c r="R97" s="135">
        <f>R96-F41</f>
        <v>-0.185</v>
      </c>
      <c r="S97" s="427" t="s">
        <v>84</v>
      </c>
      <c r="T97" s="68"/>
      <c r="U97" s="68"/>
      <c r="V97" s="68"/>
      <c r="W97" s="68"/>
    </row>
    <row r="98">
      <c r="E98" s="428"/>
      <c r="F98" s="416"/>
      <c r="G98" s="429">
        <f>G97/$D$9</f>
        <v>0.05</v>
      </c>
      <c r="H98" s="430" t="s">
        <v>479</v>
      </c>
      <c r="I98" s="71"/>
      <c r="J98" s="68"/>
      <c r="K98" s="68"/>
      <c r="N98" s="68"/>
      <c r="Q98" s="428"/>
      <c r="R98" s="429">
        <f>R97/$D$9</f>
        <v>-0.05</v>
      </c>
      <c r="S98" s="430" t="s">
        <v>479</v>
      </c>
      <c r="T98" s="68"/>
      <c r="U98" s="68"/>
      <c r="V98" s="68"/>
      <c r="W98" s="68"/>
    </row>
    <row r="99">
      <c r="E99" s="419"/>
      <c r="F99" s="419" t="s">
        <v>480</v>
      </c>
      <c r="G99" s="385">
        <f>'WAP for X-AXIS Walls'!I68</f>
        <v>538.0948799</v>
      </c>
      <c r="H99" s="71" t="s">
        <v>199</v>
      </c>
      <c r="I99" s="26"/>
      <c r="L99" s="68"/>
      <c r="N99" s="68"/>
      <c r="Q99" s="419" t="s">
        <v>480</v>
      </c>
      <c r="R99" s="385">
        <f>'WAP for X-AXIS Walls'!I68</f>
        <v>538.0948799</v>
      </c>
      <c r="S99" s="71" t="s">
        <v>199</v>
      </c>
      <c r="U99" s="68"/>
      <c r="V99" s="291"/>
      <c r="W99" s="68"/>
    </row>
    <row r="100">
      <c r="E100" s="419"/>
      <c r="F100" s="419" t="s">
        <v>481</v>
      </c>
      <c r="G100" s="385">
        <f>'WAP for X-AXIS Walls'!I68*G97*$G$90</f>
        <v>99.54755279</v>
      </c>
      <c r="H100" s="71" t="s">
        <v>482</v>
      </c>
      <c r="I100" s="26" t="s">
        <v>483</v>
      </c>
      <c r="K100" s="374" t="str">
        <f>if(G100&lt;0,"Dans le sens inverse des aiguilles d'une montre","Dans le sens des aiguilles d'une montre")</f>
        <v>Dans le sens des aiguilles d'une montre</v>
      </c>
      <c r="L100" s="68"/>
      <c r="N100" s="68"/>
      <c r="Q100" s="419" t="s">
        <v>481</v>
      </c>
      <c r="R100" s="385">
        <f>R99*R97*$R$90</f>
        <v>-99.54755279</v>
      </c>
      <c r="S100" s="427" t="s">
        <v>482</v>
      </c>
      <c r="T100" s="374" t="str">
        <f>if(R100&lt;0,"Dans le sens inverse des aiguilles d'une montre","Dans le sens des aiguilles d'une montre")</f>
        <v>Dans le sens inverse des aiguilles d'une montre</v>
      </c>
      <c r="U100" s="68"/>
      <c r="V100" s="291"/>
      <c r="W100" s="68"/>
    </row>
    <row r="101">
      <c r="E101" s="423"/>
      <c r="F101" s="423" t="s">
        <v>484</v>
      </c>
      <c r="G101" s="432">
        <f>G100/U34</f>
        <v>0.00001527406189</v>
      </c>
      <c r="H101" s="71" t="s">
        <v>485</v>
      </c>
      <c r="I101" s="26" t="s">
        <v>486</v>
      </c>
      <c r="K101" s="71"/>
      <c r="L101" s="71" t="s">
        <v>487</v>
      </c>
      <c r="N101" s="68"/>
      <c r="Q101" s="423" t="s">
        <v>484</v>
      </c>
      <c r="R101" s="432">
        <f>R100/U34</f>
        <v>-0.00001527406189</v>
      </c>
      <c r="S101" s="80" t="s">
        <v>485</v>
      </c>
      <c r="T101" s="71"/>
      <c r="U101" s="68"/>
      <c r="V101" s="291"/>
      <c r="W101" s="68"/>
    </row>
    <row r="102">
      <c r="F102" s="68"/>
      <c r="G102" s="433">
        <f>G101/2*pi()*360</f>
        <v>0.008637278513</v>
      </c>
      <c r="H102" s="71" t="s">
        <v>488</v>
      </c>
      <c r="I102" s="114" t="s">
        <v>489</v>
      </c>
      <c r="J102" s="68"/>
      <c r="L102" s="68"/>
      <c r="N102" s="68"/>
      <c r="P102" s="68"/>
      <c r="R102" s="433">
        <f>R101/2*pi()*360</f>
        <v>-0.008637278513</v>
      </c>
      <c r="S102" s="71" t="s">
        <v>488</v>
      </c>
      <c r="T102" s="114" t="s">
        <v>489</v>
      </c>
      <c r="U102" s="68"/>
      <c r="V102" s="291"/>
      <c r="W102" s="68"/>
    </row>
    <row r="103">
      <c r="D103" s="68"/>
      <c r="E103" s="68"/>
      <c r="F103" s="68"/>
      <c r="G103" s="68"/>
      <c r="H103" s="68"/>
      <c r="I103" s="474" t="s">
        <v>549</v>
      </c>
      <c r="K103" s="114"/>
      <c r="L103" s="68"/>
      <c r="N103" s="68"/>
      <c r="P103" s="68"/>
      <c r="R103" s="68"/>
      <c r="S103" s="68"/>
      <c r="T103" s="474" t="s">
        <v>549</v>
      </c>
      <c r="U103" s="68"/>
      <c r="V103" s="291"/>
      <c r="W103" s="68"/>
    </row>
    <row r="104">
      <c r="C104" s="68"/>
      <c r="D104" s="68"/>
      <c r="E104" s="68"/>
      <c r="F104" s="68"/>
      <c r="G104" s="68"/>
      <c r="H104" s="68"/>
      <c r="I104" s="68"/>
      <c r="J104" s="68"/>
      <c r="N104" s="68"/>
      <c r="O104" s="68"/>
      <c r="P104" s="68"/>
      <c r="Q104" s="68"/>
      <c r="R104" s="68"/>
      <c r="S104" s="68"/>
      <c r="T104" s="68"/>
      <c r="U104" s="291"/>
      <c r="V104" s="68"/>
      <c r="W104" s="68"/>
    </row>
    <row r="105" ht="35.25" customHeight="1">
      <c r="C105" s="68"/>
      <c r="D105" s="68"/>
      <c r="E105" s="68"/>
      <c r="F105" s="68"/>
      <c r="G105" s="68"/>
      <c r="H105" s="68"/>
      <c r="I105" s="68"/>
      <c r="J105" s="68"/>
      <c r="N105" s="68"/>
      <c r="O105" s="68"/>
      <c r="P105" s="68"/>
      <c r="Q105" s="68"/>
      <c r="R105" s="68"/>
      <c r="S105" s="68"/>
      <c r="T105" s="68"/>
      <c r="U105" s="291"/>
      <c r="V105" s="68"/>
      <c r="W105" s="68"/>
    </row>
    <row r="106" ht="37.5" customHeight="1">
      <c r="C106" s="68"/>
      <c r="D106" s="68"/>
      <c r="E106" s="68"/>
      <c r="F106" s="68"/>
      <c r="G106" s="68"/>
      <c r="H106" s="68"/>
      <c r="I106" s="68"/>
      <c r="J106" s="68"/>
      <c r="K106" s="68"/>
      <c r="L106" s="68"/>
      <c r="M106" s="68"/>
      <c r="N106" s="68"/>
      <c r="O106" s="68"/>
      <c r="P106" s="68"/>
      <c r="Q106" s="68"/>
      <c r="R106" s="68"/>
      <c r="S106" s="68"/>
      <c r="T106" s="68"/>
      <c r="U106" s="68"/>
      <c r="V106" s="68"/>
      <c r="W106" s="68"/>
    </row>
    <row r="107" ht="36.0" customHeight="1">
      <c r="B107" s="68"/>
      <c r="C107" s="68"/>
      <c r="D107" s="68"/>
      <c r="E107" s="68"/>
      <c r="F107" s="68"/>
      <c r="G107" s="68"/>
      <c r="H107" s="68"/>
      <c r="I107" s="68"/>
      <c r="J107" s="68"/>
      <c r="K107" s="68"/>
      <c r="L107" s="68"/>
      <c r="M107" s="68"/>
      <c r="N107" s="68"/>
      <c r="O107" s="68"/>
      <c r="P107" s="68"/>
      <c r="Q107" s="68"/>
      <c r="R107" s="68"/>
      <c r="S107" s="68"/>
      <c r="T107" s="68"/>
      <c r="U107" s="68"/>
      <c r="V107" s="68"/>
      <c r="W107" s="68"/>
    </row>
    <row r="108">
      <c r="A108" s="47"/>
      <c r="B108" s="224"/>
      <c r="C108" s="246"/>
      <c r="D108" s="224"/>
      <c r="E108" s="224"/>
      <c r="F108" s="224"/>
      <c r="G108" s="224"/>
      <c r="H108" s="224"/>
      <c r="I108" s="224"/>
      <c r="J108" s="224"/>
      <c r="K108" s="224"/>
      <c r="L108" s="224"/>
      <c r="M108" s="224"/>
      <c r="N108" s="288"/>
      <c r="O108" s="224"/>
      <c r="P108" s="224"/>
      <c r="Q108" s="47"/>
    </row>
    <row r="109">
      <c r="A109" s="47"/>
      <c r="B109" s="49" t="s">
        <v>75</v>
      </c>
      <c r="C109" s="50"/>
      <c r="D109" s="51"/>
      <c r="E109" s="51"/>
      <c r="F109" s="51"/>
      <c r="G109" s="51"/>
      <c r="H109" s="51"/>
      <c r="I109" s="51"/>
      <c r="J109" s="51"/>
      <c r="K109" s="51"/>
      <c r="L109" s="51"/>
      <c r="M109" s="51"/>
      <c r="N109" s="52" t="s">
        <v>76</v>
      </c>
      <c r="O109" s="52"/>
      <c r="P109" s="51"/>
      <c r="Q109" s="51"/>
      <c r="R109" s="68"/>
      <c r="S109" s="68"/>
      <c r="T109" s="68"/>
      <c r="U109" s="68"/>
      <c r="V109" s="68"/>
      <c r="W109" s="68"/>
    </row>
    <row r="110">
      <c r="A110" s="47"/>
      <c r="B110" s="49" t="s">
        <v>77</v>
      </c>
      <c r="C110" s="55" t="s">
        <v>78</v>
      </c>
      <c r="D110" s="56"/>
      <c r="E110" s="51"/>
      <c r="F110" s="51"/>
      <c r="G110" s="51"/>
      <c r="H110" s="51"/>
      <c r="I110" s="51"/>
      <c r="J110" s="51"/>
      <c r="K110" s="51"/>
      <c r="L110" s="51"/>
      <c r="M110" s="51"/>
      <c r="N110" s="57" t="s">
        <v>79</v>
      </c>
      <c r="O110" s="57"/>
      <c r="P110" s="51"/>
      <c r="Q110" s="51"/>
      <c r="R110" s="68"/>
      <c r="S110" s="68"/>
      <c r="T110" s="68"/>
      <c r="U110" s="68"/>
      <c r="V110" s="68"/>
      <c r="W110" s="68"/>
    </row>
    <row r="111">
      <c r="A111" s="47"/>
      <c r="B111" s="51"/>
      <c r="C111" s="52"/>
      <c r="D111" s="56"/>
      <c r="E111" s="51"/>
      <c r="F111" s="51"/>
      <c r="G111" s="51"/>
      <c r="H111" s="51"/>
      <c r="I111" s="51"/>
      <c r="J111" s="51"/>
      <c r="K111" s="51"/>
      <c r="L111" s="51"/>
      <c r="M111" s="51"/>
      <c r="N111" s="57" t="s">
        <v>80</v>
      </c>
      <c r="O111" s="57"/>
      <c r="P111" s="51"/>
      <c r="Q111" s="51"/>
      <c r="R111" s="68"/>
      <c r="S111" s="68"/>
      <c r="T111" s="68"/>
      <c r="U111" s="68"/>
      <c r="V111" s="68"/>
      <c r="W111" s="68"/>
    </row>
    <row r="112">
      <c r="A112" s="33"/>
      <c r="B112" s="43"/>
      <c r="C112" s="45"/>
      <c r="D112" s="43"/>
      <c r="E112" s="43"/>
      <c r="F112" s="43"/>
      <c r="G112" s="43"/>
      <c r="H112" s="43"/>
      <c r="I112" s="43"/>
      <c r="J112" s="43"/>
      <c r="K112" s="43"/>
      <c r="L112" s="43"/>
      <c r="M112" s="43"/>
      <c r="N112" s="43"/>
      <c r="O112" s="43"/>
      <c r="P112" s="43"/>
      <c r="Q112" s="43"/>
      <c r="R112" s="68"/>
      <c r="S112" s="68"/>
      <c r="T112" s="68"/>
      <c r="U112" s="68"/>
      <c r="V112" s="68"/>
      <c r="W112" s="68"/>
    </row>
    <row r="113">
      <c r="A113" s="33"/>
      <c r="B113" s="43"/>
      <c r="C113" s="45"/>
      <c r="D113" s="43"/>
      <c r="E113" s="43"/>
      <c r="F113" s="43"/>
      <c r="G113" s="43"/>
      <c r="H113" s="434"/>
      <c r="I113" s="253"/>
      <c r="J113" s="43"/>
      <c r="K113" s="43"/>
      <c r="L113" s="43"/>
      <c r="M113" s="43"/>
      <c r="N113" s="43"/>
      <c r="O113" s="43"/>
      <c r="P113" s="43"/>
      <c r="Q113" s="43"/>
      <c r="R113" s="68"/>
      <c r="S113" s="68"/>
      <c r="T113" s="68"/>
      <c r="U113" s="68"/>
      <c r="V113" s="68"/>
      <c r="W113" s="68"/>
    </row>
    <row r="114">
      <c r="A114" s="33"/>
      <c r="B114" s="43"/>
      <c r="C114" s="45"/>
      <c r="D114" s="43"/>
      <c r="E114" s="43"/>
      <c r="F114" s="43"/>
      <c r="G114" s="43"/>
      <c r="H114" s="43"/>
      <c r="I114" s="184"/>
      <c r="J114" s="184"/>
      <c r="K114" s="98" t="s">
        <v>225</v>
      </c>
      <c r="L114" s="184"/>
      <c r="M114" s="184"/>
      <c r="N114" s="184"/>
      <c r="O114" s="184"/>
      <c r="P114" s="184"/>
      <c r="Q114" s="184"/>
      <c r="R114" s="68"/>
      <c r="S114" s="68"/>
      <c r="T114" s="68"/>
      <c r="U114" s="68"/>
      <c r="V114" s="68"/>
      <c r="W114" s="68"/>
    </row>
    <row r="115">
      <c r="B115" s="68"/>
      <c r="C115" s="68"/>
      <c r="D115" s="68"/>
      <c r="E115" s="68"/>
      <c r="F115" s="68"/>
      <c r="G115" s="68"/>
      <c r="H115" s="68"/>
      <c r="I115" s="291"/>
      <c r="J115" s="289"/>
      <c r="K115" s="184"/>
      <c r="L115" s="290"/>
      <c r="M115" s="184"/>
      <c r="N115" s="291"/>
      <c r="O115" s="291"/>
      <c r="P115" s="291"/>
      <c r="Q115" s="291"/>
      <c r="R115" s="68"/>
      <c r="S115" s="68"/>
      <c r="T115" s="68"/>
      <c r="U115" s="68"/>
      <c r="V115" s="68"/>
      <c r="W115" s="68"/>
    </row>
    <row r="116">
      <c r="A116" s="67"/>
      <c r="B116" s="43"/>
      <c r="C116" s="70" t="s">
        <v>86</v>
      </c>
      <c r="D116" s="276">
        <f>'WAP for Y-AXIS Walls'!P7</f>
        <v>54.02</v>
      </c>
      <c r="E116" s="71" t="s">
        <v>87</v>
      </c>
      <c r="F116" s="71" t="s">
        <v>258</v>
      </c>
      <c r="G116" s="68"/>
      <c r="H116" s="68"/>
      <c r="I116" s="291"/>
      <c r="J116" s="291"/>
      <c r="K116" s="293"/>
      <c r="L116" s="435"/>
      <c r="M116" s="293"/>
      <c r="N116" s="291"/>
      <c r="O116" s="291"/>
      <c r="P116" s="291"/>
      <c r="Q116" s="291"/>
      <c r="R116" s="68"/>
      <c r="S116" s="68"/>
      <c r="T116" s="68"/>
      <c r="U116" s="68"/>
      <c r="V116" s="68"/>
      <c r="W116" s="68"/>
    </row>
    <row r="117">
      <c r="A117" s="189"/>
      <c r="B117" s="43"/>
      <c r="C117" s="77" t="s">
        <v>259</v>
      </c>
      <c r="D117" s="276">
        <f>'WAP for Y-AXIS Walls'!P8</f>
        <v>14.6</v>
      </c>
      <c r="E117" s="71" t="s">
        <v>84</v>
      </c>
      <c r="F117" s="71" t="s">
        <v>260</v>
      </c>
      <c r="G117" s="68"/>
      <c r="H117" s="68"/>
      <c r="I117" s="291"/>
      <c r="J117" s="294"/>
      <c r="K117" s="292"/>
      <c r="L117" s="436"/>
      <c r="M117" s="293"/>
      <c r="N117" s="291"/>
      <c r="O117" s="291"/>
      <c r="P117" s="291"/>
      <c r="Q117" s="291"/>
      <c r="R117" s="68"/>
      <c r="S117" s="68"/>
      <c r="T117" s="68"/>
      <c r="U117" s="68"/>
      <c r="V117" s="68"/>
      <c r="W117" s="68"/>
    </row>
    <row r="118">
      <c r="A118" s="189"/>
      <c r="B118" s="43"/>
      <c r="C118" s="77" t="s">
        <v>261</v>
      </c>
      <c r="D118" s="276">
        <f>'WAP for Y-AXIS Walls'!P9</f>
        <v>3.7</v>
      </c>
      <c r="E118" s="71" t="s">
        <v>87</v>
      </c>
      <c r="F118" s="71" t="s">
        <v>262</v>
      </c>
      <c r="G118" s="68"/>
      <c r="H118" s="68"/>
      <c r="I118" s="291"/>
      <c r="J118" s="294"/>
      <c r="K118" s="292"/>
      <c r="L118" s="436"/>
      <c r="M118" s="293"/>
      <c r="N118" s="291"/>
      <c r="O118" s="291"/>
      <c r="P118" s="291"/>
      <c r="Q118" s="291"/>
      <c r="R118" s="68"/>
      <c r="S118" s="68"/>
      <c r="T118" s="68"/>
      <c r="U118" s="68"/>
      <c r="V118" s="68"/>
      <c r="W118" s="68"/>
    </row>
    <row r="119">
      <c r="B119" s="68"/>
      <c r="C119" s="68"/>
      <c r="D119" s="68"/>
      <c r="E119" s="68"/>
      <c r="F119" s="68"/>
      <c r="G119" s="68"/>
      <c r="H119" s="68"/>
      <c r="I119" s="291"/>
      <c r="J119" s="184"/>
      <c r="K119" s="187"/>
      <c r="L119" s="295"/>
      <c r="M119" s="185"/>
      <c r="N119" s="291"/>
      <c r="O119" s="291"/>
      <c r="P119" s="291"/>
      <c r="Q119" s="291"/>
      <c r="R119" s="68"/>
      <c r="S119" s="68"/>
      <c r="T119" s="68"/>
      <c r="U119" s="68"/>
      <c r="V119" s="68"/>
      <c r="W119" s="68"/>
    </row>
    <row r="120">
      <c r="B120" s="68"/>
      <c r="C120" s="68"/>
      <c r="D120" s="68"/>
      <c r="E120" s="68"/>
      <c r="F120" s="68"/>
      <c r="G120" s="68"/>
      <c r="H120" s="68"/>
      <c r="I120" s="291"/>
      <c r="J120" s="291"/>
      <c r="K120" s="187"/>
      <c r="L120" s="153"/>
      <c r="M120" s="185"/>
      <c r="N120" s="291"/>
      <c r="O120" s="291"/>
      <c r="P120" s="291"/>
      <c r="Q120" s="291"/>
      <c r="R120" s="68"/>
      <c r="S120" s="68"/>
      <c r="T120" s="68"/>
      <c r="U120" s="68"/>
      <c r="V120" s="68"/>
      <c r="W120" s="68"/>
    </row>
    <row r="121">
      <c r="B121" s="68"/>
      <c r="C121" s="68"/>
      <c r="D121" s="68"/>
      <c r="E121" s="68"/>
      <c r="F121" s="68"/>
      <c r="G121" s="68"/>
      <c r="H121" s="68"/>
      <c r="I121" s="291"/>
      <c r="J121" s="291"/>
      <c r="K121" s="297"/>
      <c r="L121" s="298"/>
      <c r="M121" s="293"/>
      <c r="N121" s="293"/>
      <c r="O121" s="291"/>
      <c r="P121" s="291"/>
      <c r="Q121" s="291"/>
      <c r="R121" s="68"/>
      <c r="S121" s="68"/>
      <c r="T121" s="68"/>
      <c r="U121" s="68"/>
      <c r="V121" s="68"/>
      <c r="W121" s="68"/>
    </row>
    <row r="122">
      <c r="B122" s="68"/>
      <c r="C122" s="68"/>
      <c r="D122" s="68"/>
      <c r="E122" s="68"/>
      <c r="F122" s="68"/>
      <c r="G122" s="68"/>
      <c r="H122" s="68"/>
      <c r="I122" s="68"/>
      <c r="J122" s="68"/>
      <c r="K122" s="68"/>
      <c r="L122" s="68"/>
      <c r="M122" s="68"/>
      <c r="N122" s="68"/>
      <c r="O122" s="68"/>
      <c r="P122" s="68"/>
      <c r="Q122" s="68"/>
      <c r="R122" s="68"/>
      <c r="S122" s="68"/>
      <c r="T122" s="68"/>
      <c r="U122" s="68"/>
      <c r="V122" s="68"/>
      <c r="W122" s="68"/>
    </row>
    <row r="123">
      <c r="B123" s="68"/>
      <c r="C123" s="68"/>
      <c r="D123" s="68"/>
      <c r="E123" s="68"/>
      <c r="F123" s="68"/>
      <c r="G123" s="68"/>
      <c r="H123" s="68"/>
      <c r="I123" s="68"/>
      <c r="J123" s="68"/>
      <c r="K123" s="68"/>
      <c r="L123" s="68"/>
      <c r="M123" s="68"/>
      <c r="N123" s="68"/>
      <c r="O123" s="68"/>
      <c r="P123" s="68"/>
      <c r="Q123" s="68"/>
      <c r="R123" s="68"/>
      <c r="S123" s="68"/>
      <c r="T123" s="68"/>
      <c r="U123" s="68"/>
      <c r="V123" s="68"/>
      <c r="W123" s="68"/>
    </row>
    <row r="124" ht="18.75" customHeight="1">
      <c r="B124" s="299" t="s">
        <v>266</v>
      </c>
      <c r="C124" s="300"/>
      <c r="D124" s="301" t="s">
        <v>267</v>
      </c>
      <c r="E124" s="100" t="s">
        <v>120</v>
      </c>
      <c r="F124" s="101" t="s">
        <v>121</v>
      </c>
      <c r="G124" s="302" t="s">
        <v>268</v>
      </c>
      <c r="H124" s="302" t="s">
        <v>269</v>
      </c>
      <c r="I124" s="101" t="s">
        <v>270</v>
      </c>
      <c r="J124" s="101" t="s">
        <v>271</v>
      </c>
      <c r="K124" s="101" t="s">
        <v>272</v>
      </c>
      <c r="L124" s="303" t="s">
        <v>273</v>
      </c>
      <c r="M124" s="304" t="s">
        <v>274</v>
      </c>
      <c r="N124" s="101" t="s">
        <v>275</v>
      </c>
      <c r="O124" s="303" t="s">
        <v>276</v>
      </c>
      <c r="P124" s="302" t="s">
        <v>277</v>
      </c>
      <c r="Q124" s="303" t="s">
        <v>278</v>
      </c>
      <c r="R124" s="101" t="s">
        <v>276</v>
      </c>
      <c r="S124" s="303"/>
      <c r="T124" s="303" t="s">
        <v>279</v>
      </c>
      <c r="U124" s="305" t="s">
        <v>280</v>
      </c>
      <c r="V124" s="68"/>
      <c r="W124" s="68"/>
      <c r="X124" s="68"/>
    </row>
    <row r="125">
      <c r="B125" s="113" t="s">
        <v>285</v>
      </c>
      <c r="C125" s="115" t="s">
        <v>286</v>
      </c>
      <c r="D125" s="115" t="s">
        <v>287</v>
      </c>
      <c r="E125" s="306" t="s">
        <v>288</v>
      </c>
      <c r="F125" s="115" t="s">
        <v>186</v>
      </c>
      <c r="G125" s="111" t="s">
        <v>289</v>
      </c>
      <c r="H125" s="111" t="s">
        <v>290</v>
      </c>
      <c r="I125" s="111" t="s">
        <v>291</v>
      </c>
      <c r="J125" s="111" t="s">
        <v>140</v>
      </c>
      <c r="K125" s="111" t="s">
        <v>292</v>
      </c>
      <c r="L125" s="115" t="s">
        <v>293</v>
      </c>
      <c r="M125" s="115" t="s">
        <v>294</v>
      </c>
      <c r="N125" s="111" t="s">
        <v>295</v>
      </c>
      <c r="O125" s="111" t="s">
        <v>296</v>
      </c>
      <c r="P125" s="111" t="s">
        <v>297</v>
      </c>
      <c r="Q125" s="111" t="s">
        <v>298</v>
      </c>
      <c r="R125" s="111" t="s">
        <v>299</v>
      </c>
      <c r="S125" s="115" t="s">
        <v>300</v>
      </c>
      <c r="T125" s="307" t="s">
        <v>301</v>
      </c>
      <c r="U125" s="112" t="s">
        <v>302</v>
      </c>
      <c r="V125" s="68"/>
      <c r="W125" s="68"/>
      <c r="X125" s="68"/>
    </row>
    <row r="126">
      <c r="B126" s="113" t="s">
        <v>307</v>
      </c>
      <c r="C126" s="115" t="s">
        <v>308</v>
      </c>
      <c r="D126" s="115" t="s">
        <v>309</v>
      </c>
      <c r="E126" s="306" t="s">
        <v>134</v>
      </c>
      <c r="G126" s="111" t="s">
        <v>310</v>
      </c>
      <c r="H126" s="115" t="s">
        <v>311</v>
      </c>
      <c r="I126" s="111" t="s">
        <v>135</v>
      </c>
      <c r="J126" s="111" t="s">
        <v>312</v>
      </c>
      <c r="K126" s="111" t="s">
        <v>313</v>
      </c>
      <c r="L126" s="115" t="s">
        <v>314</v>
      </c>
      <c r="M126" s="115" t="s">
        <v>84</v>
      </c>
      <c r="N126" s="110" t="s">
        <v>315</v>
      </c>
      <c r="O126" s="308" t="s">
        <v>550</v>
      </c>
      <c r="P126" s="111" t="s">
        <v>87</v>
      </c>
      <c r="Q126" s="308" t="s">
        <v>551</v>
      </c>
      <c r="R126" s="111" t="s">
        <v>318</v>
      </c>
      <c r="S126" s="110" t="s">
        <v>319</v>
      </c>
      <c r="T126" s="115" t="s">
        <v>134</v>
      </c>
      <c r="U126" s="309"/>
      <c r="V126" s="68"/>
      <c r="W126" s="68"/>
      <c r="X126" s="68"/>
    </row>
    <row r="127">
      <c r="B127" s="126"/>
      <c r="C127" s="121"/>
      <c r="D127" s="310"/>
      <c r="E127" s="126"/>
      <c r="F127" s="311"/>
      <c r="G127" s="125"/>
      <c r="H127" s="125" t="s">
        <v>322</v>
      </c>
      <c r="I127" s="125" t="s">
        <v>323</v>
      </c>
      <c r="J127" s="121" t="s">
        <v>134</v>
      </c>
      <c r="K127" s="121" t="s">
        <v>324</v>
      </c>
      <c r="L127" s="312" t="s">
        <v>552</v>
      </c>
      <c r="M127" s="313" t="s">
        <v>326</v>
      </c>
      <c r="N127" s="314" t="s">
        <v>327</v>
      </c>
      <c r="O127" s="315" t="s">
        <v>328</v>
      </c>
      <c r="P127" s="312" t="s">
        <v>329</v>
      </c>
      <c r="Q127" s="316" t="s">
        <v>330</v>
      </c>
      <c r="R127" s="314" t="s">
        <v>331</v>
      </c>
      <c r="S127" s="317"/>
      <c r="T127" s="317"/>
      <c r="U127" s="318" t="s">
        <v>332</v>
      </c>
      <c r="V127" s="68"/>
      <c r="W127" s="68"/>
      <c r="X127" s="68"/>
    </row>
    <row r="128">
      <c r="B128" s="450"/>
      <c r="C128" s="320"/>
      <c r="D128" s="335">
        <f t="shared" ref="D128:D132" si="58">D19</f>
        <v>0</v>
      </c>
      <c r="E128" s="155">
        <v>0.2</v>
      </c>
      <c r="F128" s="475">
        <f>'WAP for X-AXIS Walls'!F111</f>
        <v>10</v>
      </c>
      <c r="G128" s="466">
        <v>2.9</v>
      </c>
      <c r="H128" s="323">
        <f>0.5*(('WAP for X-AXIS Walls'!F111*145.038)*900)/145.038</f>
        <v>4500</v>
      </c>
      <c r="I128" s="323">
        <f t="shared" ref="I128:I132" si="59">H128*0.4</f>
        <v>1800</v>
      </c>
      <c r="J128" s="286">
        <f>'WAP for X-AXIS Walls'!D111</f>
        <v>1.3</v>
      </c>
      <c r="K128" s="324">
        <f t="shared" ref="K128:K132" si="60">if(J128=0,0,G128/J128)</f>
        <v>2.230769231</v>
      </c>
      <c r="L128" s="325">
        <f>J128*E128*'WAP for X-AXIS Walls'!G111</f>
        <v>0.10764</v>
      </c>
      <c r="M128" s="325">
        <f t="shared" ref="M128:M132" si="61">if(J128=0,0,L128/J128)</f>
        <v>0.0828</v>
      </c>
      <c r="N128" s="326">
        <f t="shared" ref="N128:N132" si="62">M128*J128^3/12</f>
        <v>0.0151593</v>
      </c>
      <c r="O128" s="327">
        <f t="shared" ref="O128:O132" si="63">H128*1000*N128*3/G128^3</f>
        <v>8391.100496</v>
      </c>
      <c r="P128" s="136">
        <f t="shared" ref="P128:P132" si="64">5/6*L128</f>
        <v>0.0897</v>
      </c>
      <c r="Q128" s="327">
        <f t="shared" ref="Q128:Q132" si="65">I128*1000*P128/G128</f>
        <v>55675.86207</v>
      </c>
      <c r="R128" s="327">
        <f t="shared" ref="R128:R132" si="66">IF(OR(Q128=0,O128=0),0,(1/(1/O128+1/Q128)))</f>
        <v>7292.085267</v>
      </c>
      <c r="S128" s="327">
        <f t="shared" ref="S128:S132" si="67">R128*D128</f>
        <v>0</v>
      </c>
      <c r="T128" s="328">
        <f t="shared" ref="T128:T132" si="68">D128-$F$150</f>
        <v>-1.75</v>
      </c>
      <c r="U128" s="329">
        <f t="shared" ref="U128:U132" si="69">R128*T128^2</f>
        <v>22332.01113</v>
      </c>
      <c r="V128" s="68"/>
      <c r="W128" s="68"/>
      <c r="X128" s="68"/>
    </row>
    <row r="129">
      <c r="B129" s="450"/>
      <c r="C129" s="320"/>
      <c r="D129" s="335">
        <f t="shared" si="58"/>
        <v>0</v>
      </c>
      <c r="E129" s="155">
        <v>0.2</v>
      </c>
      <c r="F129" s="475">
        <f>'WAP for X-AXIS Walls'!F112</f>
        <v>10</v>
      </c>
      <c r="G129" s="466">
        <v>2.9</v>
      </c>
      <c r="H129" s="323">
        <f>0.5*(('WAP for X-AXIS Walls'!F112*145.038)*900)/145.038</f>
        <v>4500</v>
      </c>
      <c r="I129" s="323">
        <f t="shared" si="59"/>
        <v>1800</v>
      </c>
      <c r="J129" s="286">
        <f>'WAP for X-AXIS Walls'!D112</f>
        <v>1.9</v>
      </c>
      <c r="K129" s="324">
        <f t="shared" si="60"/>
        <v>1.526315789</v>
      </c>
      <c r="L129" s="325">
        <f>J129*E129*'WAP for X-AXIS Walls'!G112</f>
        <v>0.15732</v>
      </c>
      <c r="M129" s="325">
        <f t="shared" si="61"/>
        <v>0.0828</v>
      </c>
      <c r="N129" s="326">
        <f t="shared" si="62"/>
        <v>0.0473271</v>
      </c>
      <c r="O129" s="327">
        <f t="shared" si="63"/>
        <v>26196.88589</v>
      </c>
      <c r="P129" s="136">
        <f t="shared" si="64"/>
        <v>0.1311</v>
      </c>
      <c r="Q129" s="327">
        <f t="shared" si="65"/>
        <v>81372.41379</v>
      </c>
      <c r="R129" s="327">
        <f t="shared" si="66"/>
        <v>19817.02814</v>
      </c>
      <c r="S129" s="327">
        <f t="shared" si="67"/>
        <v>0</v>
      </c>
      <c r="T129" s="328">
        <f t="shared" si="68"/>
        <v>-1.75</v>
      </c>
      <c r="U129" s="329">
        <f t="shared" si="69"/>
        <v>60689.64868</v>
      </c>
      <c r="V129" s="68"/>
      <c r="W129" s="68"/>
      <c r="X129" s="68"/>
    </row>
    <row r="130">
      <c r="B130" s="463"/>
      <c r="C130" s="320"/>
      <c r="D130" s="335">
        <f t="shared" si="58"/>
        <v>0</v>
      </c>
      <c r="E130" s="155">
        <v>0.2</v>
      </c>
      <c r="F130" s="475">
        <f>'WAP for X-AXIS Walls'!F113</f>
        <v>6.9</v>
      </c>
      <c r="G130" s="466">
        <v>2.9</v>
      </c>
      <c r="H130" s="323">
        <f>0.5*(('WAP for X-AXIS Walls'!F113*145.038)*900)/145.038</f>
        <v>3105</v>
      </c>
      <c r="I130" s="323">
        <f t="shared" si="59"/>
        <v>1242</v>
      </c>
      <c r="J130" s="286">
        <f>'WAP for X-AXIS Walls'!D113</f>
        <v>0</v>
      </c>
      <c r="K130" s="324">
        <f t="shared" si="60"/>
        <v>0</v>
      </c>
      <c r="L130" s="325">
        <f>J130*E130*'WAP for X-AXIS Walls'!G113</f>
        <v>0</v>
      </c>
      <c r="M130" s="325">
        <f t="shared" si="61"/>
        <v>0</v>
      </c>
      <c r="N130" s="326">
        <f t="shared" si="62"/>
        <v>0</v>
      </c>
      <c r="O130" s="327">
        <f t="shared" si="63"/>
        <v>0</v>
      </c>
      <c r="P130" s="136">
        <f t="shared" si="64"/>
        <v>0</v>
      </c>
      <c r="Q130" s="327">
        <f t="shared" si="65"/>
        <v>0</v>
      </c>
      <c r="R130" s="327">
        <f t="shared" si="66"/>
        <v>0</v>
      </c>
      <c r="S130" s="327">
        <f t="shared" si="67"/>
        <v>0</v>
      </c>
      <c r="T130" s="328">
        <f t="shared" si="68"/>
        <v>-1.75</v>
      </c>
      <c r="U130" s="329">
        <f t="shared" si="69"/>
        <v>0</v>
      </c>
      <c r="V130" s="68"/>
      <c r="W130" s="68"/>
      <c r="X130" s="68"/>
    </row>
    <row r="131">
      <c r="B131" s="464"/>
      <c r="C131" s="320"/>
      <c r="D131" s="335">
        <f t="shared" si="58"/>
        <v>0</v>
      </c>
      <c r="E131" s="155">
        <v>0.2</v>
      </c>
      <c r="F131" s="475">
        <f>'WAP for X-AXIS Walls'!F114</f>
        <v>10</v>
      </c>
      <c r="G131" s="466">
        <v>2.9</v>
      </c>
      <c r="H131" s="323">
        <f>0.5*(('WAP for X-AXIS Walls'!F114*145.038)*900)/145.038</f>
        <v>4500</v>
      </c>
      <c r="I131" s="323">
        <f t="shared" si="59"/>
        <v>1800</v>
      </c>
      <c r="J131" s="286">
        <f>'WAP for X-AXIS Walls'!D114</f>
        <v>1.9</v>
      </c>
      <c r="K131" s="324">
        <f t="shared" si="60"/>
        <v>1.526315789</v>
      </c>
      <c r="L131" s="325">
        <f>J131*E131*'WAP for X-AXIS Walls'!G114</f>
        <v>0.15732</v>
      </c>
      <c r="M131" s="325">
        <f t="shared" si="61"/>
        <v>0.0828</v>
      </c>
      <c r="N131" s="326">
        <f t="shared" si="62"/>
        <v>0.0473271</v>
      </c>
      <c r="O131" s="327">
        <f t="shared" si="63"/>
        <v>26196.88589</v>
      </c>
      <c r="P131" s="136">
        <f t="shared" si="64"/>
        <v>0.1311</v>
      </c>
      <c r="Q131" s="327">
        <f t="shared" si="65"/>
        <v>81372.41379</v>
      </c>
      <c r="R131" s="327">
        <f t="shared" si="66"/>
        <v>19817.02814</v>
      </c>
      <c r="S131" s="327">
        <f t="shared" si="67"/>
        <v>0</v>
      </c>
      <c r="T131" s="328">
        <f t="shared" si="68"/>
        <v>-1.75</v>
      </c>
      <c r="U131" s="329">
        <f t="shared" si="69"/>
        <v>60689.64868</v>
      </c>
      <c r="V131" s="68"/>
      <c r="W131" s="68"/>
      <c r="X131" s="68"/>
    </row>
    <row r="132">
      <c r="B132" s="464"/>
      <c r="C132" s="320"/>
      <c r="D132" s="335">
        <f t="shared" si="58"/>
        <v>0</v>
      </c>
      <c r="E132" s="155">
        <v>0.2</v>
      </c>
      <c r="F132" s="475">
        <f>'WAP for X-AXIS Walls'!F115</f>
        <v>10</v>
      </c>
      <c r="G132" s="466">
        <v>2.9</v>
      </c>
      <c r="H132" s="323">
        <f>0.5*(('WAP for X-AXIS Walls'!F115*145.038)*900)/145.038</f>
        <v>4500</v>
      </c>
      <c r="I132" s="323">
        <f t="shared" si="59"/>
        <v>1800</v>
      </c>
      <c r="J132" s="286">
        <f>'WAP for X-AXIS Walls'!D115</f>
        <v>1.3</v>
      </c>
      <c r="K132" s="324">
        <f t="shared" si="60"/>
        <v>2.230769231</v>
      </c>
      <c r="L132" s="325">
        <f>J132*E132*'WAP for X-AXIS Walls'!G115</f>
        <v>0.10764</v>
      </c>
      <c r="M132" s="325">
        <f t="shared" si="61"/>
        <v>0.0828</v>
      </c>
      <c r="N132" s="326">
        <f t="shared" si="62"/>
        <v>0.0151593</v>
      </c>
      <c r="O132" s="327">
        <f t="shared" si="63"/>
        <v>8391.100496</v>
      </c>
      <c r="P132" s="136">
        <f t="shared" si="64"/>
        <v>0.0897</v>
      </c>
      <c r="Q132" s="327">
        <f t="shared" si="65"/>
        <v>55675.86207</v>
      </c>
      <c r="R132" s="327">
        <f t="shared" si="66"/>
        <v>7292.085267</v>
      </c>
      <c r="S132" s="327">
        <f t="shared" si="67"/>
        <v>0</v>
      </c>
      <c r="T132" s="328">
        <f t="shared" si="68"/>
        <v>-1.75</v>
      </c>
      <c r="U132" s="329">
        <f t="shared" si="69"/>
        <v>22332.01113</v>
      </c>
      <c r="V132" s="68"/>
      <c r="W132" s="68"/>
      <c r="X132" s="68"/>
    </row>
    <row r="133">
      <c r="B133" s="476">
        <f t="shared" ref="B133:D133" si="70">B24</f>
        <v>0.825</v>
      </c>
      <c r="C133" s="320">
        <f t="shared" si="70"/>
        <v>22.28325</v>
      </c>
      <c r="D133" s="335" t="str">
        <f t="shared" si="70"/>
        <v/>
      </c>
      <c r="E133" s="155"/>
      <c r="F133" s="475" t="str">
        <f>'WAP for X-AXIS Walls'!F116</f>
        <v/>
      </c>
      <c r="G133" s="466"/>
      <c r="H133" s="323"/>
      <c r="I133" s="323"/>
      <c r="J133" s="286"/>
      <c r="K133" s="324"/>
      <c r="L133" s="325"/>
      <c r="M133" s="325"/>
      <c r="N133" s="326"/>
      <c r="O133" s="327"/>
      <c r="P133" s="136"/>
      <c r="Q133" s="327"/>
      <c r="R133" s="327"/>
      <c r="S133" s="327"/>
      <c r="T133" s="328"/>
      <c r="U133" s="329"/>
      <c r="V133" s="68"/>
      <c r="W133" s="68"/>
      <c r="X133" s="68"/>
    </row>
    <row r="134">
      <c r="B134" s="476" t="str">
        <f t="shared" ref="B134:D134" si="71">B25</f>
        <v/>
      </c>
      <c r="C134" s="320" t="str">
        <f t="shared" si="71"/>
        <v/>
      </c>
      <c r="D134" s="335">
        <f t="shared" si="71"/>
        <v>3.5</v>
      </c>
      <c r="E134" s="155">
        <v>0.2</v>
      </c>
      <c r="F134" s="475">
        <f>'WAP for X-AXIS Walls'!F117</f>
        <v>10</v>
      </c>
      <c r="G134" s="466">
        <v>2.9</v>
      </c>
      <c r="H134" s="323">
        <f>0.5*(('WAP for X-AXIS Walls'!F117*145.038)*900)/145.038</f>
        <v>4500</v>
      </c>
      <c r="I134" s="323">
        <f t="shared" ref="I134:I138" si="73">H134*0.4</f>
        <v>1800</v>
      </c>
      <c r="J134" s="286">
        <f>'WAP for X-AXIS Walls'!D117</f>
        <v>1.3</v>
      </c>
      <c r="K134" s="324">
        <f t="shared" ref="K134:K138" si="74">if(J134=0,0,G134/J134)</f>
        <v>2.230769231</v>
      </c>
      <c r="L134" s="325">
        <f>J134*E134*'WAP for X-AXIS Walls'!G117</f>
        <v>0.10764</v>
      </c>
      <c r="M134" s="325">
        <f t="shared" ref="M134:M138" si="75">if(J134=0,0,L134/J134)</f>
        <v>0.0828</v>
      </c>
      <c r="N134" s="326">
        <f t="shared" ref="N134:N138" si="76">M134*J134^3/12</f>
        <v>0.0151593</v>
      </c>
      <c r="O134" s="327">
        <f t="shared" ref="O134:O138" si="77">H134*1000*N134*3/G134^3</f>
        <v>8391.100496</v>
      </c>
      <c r="P134" s="136">
        <f t="shared" ref="P134:P138" si="78">5/6*L134</f>
        <v>0.0897</v>
      </c>
      <c r="Q134" s="327">
        <f t="shared" ref="Q134:Q138" si="79">I134*1000*P134/G134</f>
        <v>55675.86207</v>
      </c>
      <c r="R134" s="327">
        <f t="shared" ref="R134:R138" si="80">IF(OR(Q134=0,O134=0),0,(1/(1/O134+1/Q134)))</f>
        <v>7292.085267</v>
      </c>
      <c r="S134" s="327">
        <f t="shared" ref="S134:S138" si="81">R134*D134</f>
        <v>25522.29843</v>
      </c>
      <c r="T134" s="328">
        <f t="shared" ref="T134:T138" si="82">D134-$F$150</f>
        <v>1.75</v>
      </c>
      <c r="U134" s="329">
        <f t="shared" ref="U134:U138" si="83">R134*T134^2</f>
        <v>22332.01113</v>
      </c>
      <c r="V134" s="68"/>
      <c r="W134" s="68"/>
      <c r="X134" s="68"/>
    </row>
    <row r="135">
      <c r="B135" s="476" t="str">
        <f t="shared" ref="B135:D135" si="72">B26</f>
        <v/>
      </c>
      <c r="C135" s="320" t="str">
        <f t="shared" si="72"/>
        <v/>
      </c>
      <c r="D135" s="335">
        <f t="shared" si="72"/>
        <v>3.5</v>
      </c>
      <c r="E135" s="155">
        <v>0.2</v>
      </c>
      <c r="F135" s="475">
        <f>'WAP for X-AXIS Walls'!F118</f>
        <v>10</v>
      </c>
      <c r="G135" s="466">
        <v>2.9</v>
      </c>
      <c r="H135" s="323">
        <f>0.5*(('WAP for X-AXIS Walls'!F118*145.038)*900)/145.038</f>
        <v>4500</v>
      </c>
      <c r="I135" s="323">
        <f t="shared" si="73"/>
        <v>1800</v>
      </c>
      <c r="J135" s="286">
        <f>'WAP for X-AXIS Walls'!D118</f>
        <v>1.9</v>
      </c>
      <c r="K135" s="324">
        <f t="shared" si="74"/>
        <v>1.526315789</v>
      </c>
      <c r="L135" s="325">
        <f>J135*E135*'WAP for X-AXIS Walls'!G118</f>
        <v>0.15732</v>
      </c>
      <c r="M135" s="325">
        <f t="shared" si="75"/>
        <v>0.0828</v>
      </c>
      <c r="N135" s="326">
        <f t="shared" si="76"/>
        <v>0.0473271</v>
      </c>
      <c r="O135" s="327">
        <f t="shared" si="77"/>
        <v>26196.88589</v>
      </c>
      <c r="P135" s="136">
        <f t="shared" si="78"/>
        <v>0.1311</v>
      </c>
      <c r="Q135" s="327">
        <f t="shared" si="79"/>
        <v>81372.41379</v>
      </c>
      <c r="R135" s="327">
        <f t="shared" si="80"/>
        <v>19817.02814</v>
      </c>
      <c r="S135" s="327">
        <f t="shared" si="81"/>
        <v>69359.59849</v>
      </c>
      <c r="T135" s="328">
        <f t="shared" si="82"/>
        <v>1.75</v>
      </c>
      <c r="U135" s="329">
        <f t="shared" si="83"/>
        <v>60689.64868</v>
      </c>
      <c r="V135" s="68"/>
      <c r="W135" s="68"/>
      <c r="X135" s="68"/>
    </row>
    <row r="136">
      <c r="B136" s="476" t="str">
        <f t="shared" ref="B136:D136" si="84">B27</f>
        <v/>
      </c>
      <c r="C136" s="320" t="str">
        <f t="shared" si="84"/>
        <v/>
      </c>
      <c r="D136" s="335">
        <f t="shared" si="84"/>
        <v>3.5</v>
      </c>
      <c r="E136" s="155">
        <v>0.2</v>
      </c>
      <c r="F136" s="475">
        <f>'WAP for X-AXIS Walls'!F119</f>
        <v>6.9</v>
      </c>
      <c r="G136" s="466">
        <v>2.9</v>
      </c>
      <c r="H136" s="323">
        <f>0.5*(('WAP for X-AXIS Walls'!F119*145.038)*900)/145.038</f>
        <v>3105</v>
      </c>
      <c r="I136" s="323">
        <f t="shared" si="73"/>
        <v>1242</v>
      </c>
      <c r="J136" s="286">
        <f>'WAP for X-AXIS Walls'!D119</f>
        <v>0</v>
      </c>
      <c r="K136" s="324">
        <f t="shared" si="74"/>
        <v>0</v>
      </c>
      <c r="L136" s="325">
        <f>J136*E136*'WAP for X-AXIS Walls'!G119</f>
        <v>0</v>
      </c>
      <c r="M136" s="325">
        <f t="shared" si="75"/>
        <v>0</v>
      </c>
      <c r="N136" s="326">
        <f t="shared" si="76"/>
        <v>0</v>
      </c>
      <c r="O136" s="327">
        <f t="shared" si="77"/>
        <v>0</v>
      </c>
      <c r="P136" s="136">
        <f t="shared" si="78"/>
        <v>0</v>
      </c>
      <c r="Q136" s="327">
        <f t="shared" si="79"/>
        <v>0</v>
      </c>
      <c r="R136" s="327">
        <f t="shared" si="80"/>
        <v>0</v>
      </c>
      <c r="S136" s="327">
        <f t="shared" si="81"/>
        <v>0</v>
      </c>
      <c r="T136" s="328">
        <f t="shared" si="82"/>
        <v>1.75</v>
      </c>
      <c r="U136" s="329">
        <f t="shared" si="83"/>
        <v>0</v>
      </c>
      <c r="V136" s="68"/>
      <c r="W136" s="68"/>
      <c r="X136" s="68"/>
    </row>
    <row r="137">
      <c r="B137" s="476" t="str">
        <f t="shared" ref="B137:D137" si="85">B28</f>
        <v/>
      </c>
      <c r="C137" s="320" t="str">
        <f t="shared" si="85"/>
        <v/>
      </c>
      <c r="D137" s="335">
        <f t="shared" si="85"/>
        <v>3.5</v>
      </c>
      <c r="E137" s="155">
        <v>0.2</v>
      </c>
      <c r="F137" s="475">
        <f>'WAP for X-AXIS Walls'!F120</f>
        <v>10</v>
      </c>
      <c r="G137" s="466">
        <v>2.9</v>
      </c>
      <c r="H137" s="323">
        <f>0.5*(('WAP for X-AXIS Walls'!F120*145.038)*900)/145.038</f>
        <v>4500</v>
      </c>
      <c r="I137" s="323">
        <f t="shared" si="73"/>
        <v>1800</v>
      </c>
      <c r="J137" s="286">
        <f>'WAP for X-AXIS Walls'!D120</f>
        <v>1.9</v>
      </c>
      <c r="K137" s="324">
        <f t="shared" si="74"/>
        <v>1.526315789</v>
      </c>
      <c r="L137" s="325">
        <f>J137*E137*'WAP for X-AXIS Walls'!G120</f>
        <v>0.15732</v>
      </c>
      <c r="M137" s="325">
        <f t="shared" si="75"/>
        <v>0.0828</v>
      </c>
      <c r="N137" s="326">
        <f t="shared" si="76"/>
        <v>0.0473271</v>
      </c>
      <c r="O137" s="327">
        <f t="shared" si="77"/>
        <v>26196.88589</v>
      </c>
      <c r="P137" s="136">
        <f t="shared" si="78"/>
        <v>0.1311</v>
      </c>
      <c r="Q137" s="327">
        <f t="shared" si="79"/>
        <v>81372.41379</v>
      </c>
      <c r="R137" s="327">
        <f t="shared" si="80"/>
        <v>19817.02814</v>
      </c>
      <c r="S137" s="327">
        <f t="shared" si="81"/>
        <v>69359.59849</v>
      </c>
      <c r="T137" s="328">
        <f t="shared" si="82"/>
        <v>1.75</v>
      </c>
      <c r="U137" s="329">
        <f t="shared" si="83"/>
        <v>60689.64868</v>
      </c>
      <c r="V137" s="68"/>
      <c r="W137" s="68"/>
      <c r="X137" s="68"/>
    </row>
    <row r="138">
      <c r="B138" s="476" t="str">
        <f t="shared" ref="B138:D138" si="86">B29</f>
        <v/>
      </c>
      <c r="C138" s="320" t="str">
        <f t="shared" si="86"/>
        <v/>
      </c>
      <c r="D138" s="335">
        <f t="shared" si="86"/>
        <v>3.5</v>
      </c>
      <c r="E138" s="155">
        <v>0.2</v>
      </c>
      <c r="F138" s="475">
        <f>'WAP for X-AXIS Walls'!F121</f>
        <v>10</v>
      </c>
      <c r="G138" s="466">
        <v>2.9</v>
      </c>
      <c r="H138" s="323">
        <f>0.5*(('WAP for X-AXIS Walls'!F121*145.038)*900)/145.038</f>
        <v>4500</v>
      </c>
      <c r="I138" s="323">
        <f t="shared" si="73"/>
        <v>1800</v>
      </c>
      <c r="J138" s="286">
        <f>'WAP for X-AXIS Walls'!D121</f>
        <v>1.3</v>
      </c>
      <c r="K138" s="324">
        <f t="shared" si="74"/>
        <v>2.230769231</v>
      </c>
      <c r="L138" s="325">
        <f>J138*E138*'WAP for X-AXIS Walls'!G121</f>
        <v>0.10764</v>
      </c>
      <c r="M138" s="325">
        <f t="shared" si="75"/>
        <v>0.0828</v>
      </c>
      <c r="N138" s="326">
        <f t="shared" si="76"/>
        <v>0.0151593</v>
      </c>
      <c r="O138" s="327">
        <f t="shared" si="77"/>
        <v>8391.100496</v>
      </c>
      <c r="P138" s="136">
        <f t="shared" si="78"/>
        <v>0.0897</v>
      </c>
      <c r="Q138" s="327">
        <f t="shared" si="79"/>
        <v>55675.86207</v>
      </c>
      <c r="R138" s="327">
        <f t="shared" si="80"/>
        <v>7292.085267</v>
      </c>
      <c r="S138" s="327">
        <f t="shared" si="81"/>
        <v>25522.29843</v>
      </c>
      <c r="T138" s="328">
        <f t="shared" si="82"/>
        <v>1.75</v>
      </c>
      <c r="U138" s="329">
        <f t="shared" si="83"/>
        <v>22332.01113</v>
      </c>
      <c r="V138" s="68"/>
      <c r="W138" s="68"/>
      <c r="X138" s="68"/>
    </row>
    <row r="139">
      <c r="B139" s="476">
        <f t="shared" ref="B139:C139" si="87">B30</f>
        <v>2.675</v>
      </c>
      <c r="C139" s="320">
        <f t="shared" si="87"/>
        <v>72.25175</v>
      </c>
      <c r="D139" s="321"/>
      <c r="E139" s="155"/>
      <c r="F139" s="155"/>
      <c r="G139" s="155" t="str">
        <f>'WAP for Y-AXIS Walls'!D122</f>
        <v/>
      </c>
      <c r="H139" s="324"/>
      <c r="I139" s="82"/>
      <c r="J139" s="286" t="str">
        <f>'WAP for Y-AXIS Walls'!G122</f>
        <v/>
      </c>
      <c r="K139" s="324"/>
      <c r="L139" s="82"/>
      <c r="M139" s="82"/>
      <c r="N139" s="136"/>
      <c r="O139" s="327"/>
      <c r="P139" s="328"/>
      <c r="Q139" s="327"/>
      <c r="R139" s="327"/>
      <c r="S139" s="327"/>
      <c r="T139" s="82"/>
      <c r="U139" s="342"/>
      <c r="V139" s="68"/>
      <c r="W139" s="68"/>
      <c r="X139" s="68"/>
    </row>
    <row r="140">
      <c r="B140" s="156"/>
      <c r="C140" s="343"/>
      <c r="D140" s="344"/>
      <c r="E140" s="440"/>
      <c r="F140" s="440"/>
      <c r="G140" s="440"/>
      <c r="H140" s="440"/>
      <c r="I140" s="127"/>
      <c r="J140" s="158"/>
      <c r="K140" s="440"/>
      <c r="L140" s="127"/>
      <c r="M140" s="127"/>
      <c r="N140" s="163"/>
      <c r="O140" s="441"/>
      <c r="P140" s="347"/>
      <c r="Q140" s="441"/>
      <c r="R140" s="441"/>
      <c r="S140" s="441"/>
      <c r="T140" s="127"/>
      <c r="U140" s="442"/>
      <c r="V140" s="68"/>
      <c r="W140" s="68"/>
      <c r="X140" s="68"/>
    </row>
    <row r="141">
      <c r="B141" s="345"/>
      <c r="C141" s="346">
        <f>SUM(C128:C140)</f>
        <v>94.535</v>
      </c>
      <c r="D141" s="443" t="str">
        <f>D139</f>
        <v/>
      </c>
      <c r="E141" s="444"/>
      <c r="F141" s="444"/>
      <c r="G141" s="444"/>
      <c r="H141" s="444"/>
      <c r="I141" s="444"/>
      <c r="J141" s="444"/>
      <c r="K141" s="444"/>
      <c r="L141" s="444"/>
      <c r="M141" s="444"/>
      <c r="N141" s="444"/>
      <c r="O141" s="127"/>
      <c r="P141" s="127"/>
      <c r="Q141" s="444"/>
      <c r="R141" s="441">
        <f t="shared" ref="R141:S141" si="88">sum(R128:R140)</f>
        <v>108436.4536</v>
      </c>
      <c r="S141" s="441">
        <f t="shared" si="88"/>
        <v>189763.7938</v>
      </c>
      <c r="T141" s="399" t="s">
        <v>333</v>
      </c>
      <c r="U141" s="445">
        <f>sum(U128:U140)</f>
        <v>332086.6392</v>
      </c>
      <c r="V141" s="68"/>
      <c r="W141" s="68"/>
      <c r="X141" s="68"/>
    </row>
    <row r="142">
      <c r="B142" s="68"/>
      <c r="C142" s="446">
        <f>C141/'WAP for X-AXIS Walls'!O124</f>
        <v>1.75</v>
      </c>
      <c r="D142" s="80" t="s">
        <v>334</v>
      </c>
      <c r="E142" s="68"/>
      <c r="F142" s="68"/>
      <c r="G142" s="68"/>
      <c r="H142" s="68"/>
      <c r="I142" s="68"/>
      <c r="J142" s="68"/>
      <c r="K142" s="68"/>
      <c r="L142" s="68"/>
      <c r="M142" s="328"/>
      <c r="P142" s="68"/>
      <c r="Q142" s="77" t="s">
        <v>335</v>
      </c>
      <c r="R142" s="477">
        <f>'Detailed Check Y-AXIS Walls'!R139</f>
        <v>166590.1619</v>
      </c>
      <c r="T142" s="80" t="s">
        <v>336</v>
      </c>
      <c r="U142" s="358">
        <f>'Detailed Check Y-AXIS Walls'!U139</f>
        <v>4667416.142</v>
      </c>
      <c r="V142" s="68"/>
      <c r="W142" s="68"/>
    </row>
    <row r="143">
      <c r="B143" s="68"/>
      <c r="C143" s="68"/>
      <c r="D143" s="68"/>
      <c r="E143" s="68"/>
      <c r="F143" s="68"/>
      <c r="G143" s="68"/>
      <c r="H143" s="68"/>
      <c r="I143" s="68"/>
      <c r="J143" s="68"/>
      <c r="K143" s="68"/>
      <c r="L143" s="68"/>
      <c r="M143" s="328"/>
      <c r="N143" s="82"/>
      <c r="O143" s="82"/>
      <c r="P143" s="68"/>
      <c r="R143" s="68"/>
      <c r="T143" s="80" t="s">
        <v>338</v>
      </c>
      <c r="U143" s="327">
        <f>U141+U142</f>
        <v>4999502.782</v>
      </c>
      <c r="V143" s="68"/>
      <c r="W143" s="68"/>
    </row>
    <row r="144">
      <c r="K144" s="82"/>
      <c r="L144" s="82"/>
      <c r="M144" s="68"/>
      <c r="N144" s="68"/>
      <c r="O144" s="68"/>
      <c r="P144" s="68"/>
      <c r="Q144" s="68"/>
      <c r="R144" s="68"/>
      <c r="S144" s="68"/>
      <c r="T144" s="68"/>
      <c r="U144" s="68"/>
      <c r="V144" s="68"/>
      <c r="W144" s="68"/>
    </row>
    <row r="145">
      <c r="K145" s="68"/>
      <c r="L145" s="68"/>
      <c r="M145" s="68"/>
      <c r="N145" s="68"/>
      <c r="O145" s="68"/>
      <c r="P145" s="68"/>
      <c r="Q145" s="68"/>
      <c r="R145" s="68"/>
      <c r="S145" s="68"/>
      <c r="T145" s="68"/>
      <c r="U145" s="68"/>
      <c r="V145" s="68"/>
      <c r="W145" s="68"/>
    </row>
    <row r="146">
      <c r="B146" s="363" t="s">
        <v>342</v>
      </c>
      <c r="C146" s="364"/>
      <c r="D146" s="364"/>
      <c r="E146" s="364"/>
      <c r="F146" s="68"/>
      <c r="G146" s="68"/>
      <c r="H146" s="68"/>
      <c r="I146" s="68"/>
      <c r="J146" s="328"/>
      <c r="K146" s="68"/>
      <c r="L146" s="68"/>
      <c r="M146" s="68"/>
      <c r="N146" s="68"/>
      <c r="O146" s="68"/>
      <c r="P146" s="68"/>
      <c r="Q146" s="68"/>
      <c r="R146" s="68"/>
      <c r="S146" s="68"/>
      <c r="T146" s="68"/>
      <c r="U146" s="68"/>
      <c r="V146" s="68"/>
      <c r="W146" s="68"/>
    </row>
    <row r="147">
      <c r="B147" s="365"/>
      <c r="C147" s="366"/>
      <c r="D147" s="364"/>
      <c r="E147" s="364"/>
      <c r="F147" s="367"/>
      <c r="G147" s="68"/>
      <c r="H147" s="68"/>
      <c r="I147" s="68"/>
      <c r="J147" s="68"/>
      <c r="M147" s="68"/>
      <c r="N147" s="68"/>
      <c r="O147" s="68"/>
      <c r="P147" s="68"/>
      <c r="Q147" s="68"/>
      <c r="R147" s="68"/>
      <c r="S147" s="68"/>
      <c r="T147" s="68"/>
      <c r="U147" s="68"/>
      <c r="V147" s="68"/>
      <c r="W147" s="68"/>
    </row>
    <row r="148">
      <c r="B148" s="68"/>
      <c r="M148" s="68"/>
      <c r="N148" s="68"/>
      <c r="O148" s="68"/>
      <c r="P148" s="68"/>
      <c r="Q148" s="68"/>
      <c r="R148" s="68"/>
      <c r="S148" s="68"/>
      <c r="T148" s="68"/>
      <c r="U148" s="68"/>
      <c r="V148" s="68"/>
      <c r="W148" s="68"/>
    </row>
    <row r="149">
      <c r="B149" s="328"/>
      <c r="C149" s="68"/>
      <c r="D149" s="68"/>
      <c r="E149" s="70"/>
      <c r="F149" s="328"/>
      <c r="G149" s="80"/>
      <c r="H149" s="71"/>
      <c r="I149" s="68"/>
      <c r="J149" s="68"/>
      <c r="M149" s="68"/>
      <c r="N149" s="68"/>
      <c r="O149" s="68"/>
      <c r="P149" s="68"/>
      <c r="Q149" s="68"/>
      <c r="R149" s="68"/>
      <c r="S149" s="68"/>
      <c r="T149" s="68"/>
      <c r="U149" s="68"/>
      <c r="V149" s="68"/>
      <c r="W149" s="68"/>
    </row>
    <row r="150">
      <c r="B150" s="328"/>
      <c r="C150" s="82"/>
      <c r="D150" s="68"/>
      <c r="E150" s="70" t="s">
        <v>523</v>
      </c>
      <c r="F150" s="328">
        <f>S141/R141</f>
        <v>1.75</v>
      </c>
      <c r="G150" s="80" t="s">
        <v>344</v>
      </c>
      <c r="H150" s="68"/>
      <c r="I150" s="71" t="s">
        <v>500</v>
      </c>
      <c r="J150" s="68"/>
      <c r="M150" s="68"/>
      <c r="N150" s="68"/>
      <c r="O150" s="68"/>
      <c r="P150" s="68"/>
      <c r="Q150" s="68"/>
      <c r="R150" s="68"/>
      <c r="S150" s="68"/>
      <c r="T150" s="68"/>
      <c r="U150" s="68"/>
      <c r="V150" s="68"/>
      <c r="W150" s="68"/>
    </row>
    <row r="151">
      <c r="B151" s="328"/>
      <c r="C151" s="82"/>
      <c r="D151" s="68"/>
      <c r="E151" s="70" t="s">
        <v>345</v>
      </c>
      <c r="F151" s="328">
        <f>'WAP for X-AXIS Walls'!I154/R141*1000</f>
        <v>4.019467976</v>
      </c>
      <c r="G151" s="43" t="s">
        <v>346</v>
      </c>
      <c r="H151" s="71" t="s">
        <v>347</v>
      </c>
      <c r="I151" s="68"/>
      <c r="J151" s="68"/>
      <c r="M151" s="68"/>
      <c r="N151" s="68"/>
      <c r="O151" s="68"/>
      <c r="P151" s="68"/>
      <c r="Q151" s="68"/>
      <c r="R151" s="68"/>
      <c r="S151" s="68"/>
      <c r="T151" s="68"/>
      <c r="U151" s="68"/>
      <c r="V151" s="68"/>
      <c r="W151" s="68"/>
    </row>
    <row r="152">
      <c r="B152" s="328"/>
      <c r="C152" s="82"/>
      <c r="D152" s="68"/>
      <c r="E152" s="70" t="s">
        <v>348</v>
      </c>
      <c r="F152" s="328">
        <f>C142</f>
        <v>1.75</v>
      </c>
      <c r="G152" s="43" t="s">
        <v>84</v>
      </c>
      <c r="H152" s="68"/>
      <c r="I152" s="68"/>
      <c r="J152" s="68"/>
      <c r="M152" s="68"/>
      <c r="N152" s="68"/>
      <c r="O152" s="68"/>
      <c r="P152" s="68"/>
      <c r="Q152" s="68"/>
      <c r="R152" s="68"/>
      <c r="S152" s="68"/>
      <c r="T152" s="68"/>
      <c r="U152" s="68"/>
      <c r="V152" s="68"/>
      <c r="W152" s="68"/>
    </row>
    <row r="153">
      <c r="B153" s="328"/>
      <c r="C153" s="82"/>
      <c r="D153" s="68"/>
      <c r="E153" s="70" t="s">
        <v>349</v>
      </c>
      <c r="F153" s="328">
        <f>F152-F150</f>
        <v>0</v>
      </c>
      <c r="G153" s="80" t="s">
        <v>344</v>
      </c>
      <c r="H153" s="71" t="s">
        <v>350</v>
      </c>
      <c r="I153" s="68"/>
      <c r="J153" s="68"/>
      <c r="M153" s="68"/>
      <c r="N153" s="68"/>
      <c r="O153" s="68"/>
      <c r="P153" s="68"/>
      <c r="Q153" s="68"/>
      <c r="R153" s="68"/>
      <c r="S153" s="68"/>
      <c r="T153" s="68"/>
      <c r="U153" s="68"/>
      <c r="V153" s="68"/>
      <c r="W153" s="68"/>
    </row>
    <row r="154">
      <c r="B154" s="328"/>
      <c r="C154" s="82"/>
      <c r="D154" s="68"/>
      <c r="E154" s="77" t="s">
        <v>351</v>
      </c>
      <c r="F154" s="408">
        <f>$D$118</f>
        <v>3.7</v>
      </c>
      <c r="G154" s="71" t="s">
        <v>84</v>
      </c>
      <c r="H154" s="68"/>
      <c r="I154" s="68"/>
      <c r="J154" s="68"/>
      <c r="K154" s="68"/>
      <c r="L154" s="68"/>
      <c r="M154" s="68"/>
      <c r="N154" s="68"/>
      <c r="O154" s="68"/>
      <c r="P154" s="68"/>
      <c r="Q154" s="68"/>
      <c r="R154" s="68"/>
      <c r="S154" s="68"/>
      <c r="T154" s="68"/>
      <c r="U154" s="68"/>
      <c r="V154" s="68"/>
      <c r="W154" s="68"/>
    </row>
    <row r="155">
      <c r="C155" s="82"/>
      <c r="D155" s="68"/>
      <c r="E155" s="70" t="s">
        <v>352</v>
      </c>
      <c r="F155" s="368">
        <f>F153/F154</f>
        <v>0</v>
      </c>
      <c r="G155" s="71" t="s">
        <v>353</v>
      </c>
      <c r="H155" s="71" t="s">
        <v>354</v>
      </c>
      <c r="I155" s="68"/>
      <c r="J155" s="68"/>
      <c r="K155" s="68"/>
      <c r="L155" s="68"/>
      <c r="M155" s="68"/>
      <c r="N155" s="68"/>
      <c r="O155" s="68"/>
      <c r="P155" s="68"/>
      <c r="Q155" s="68"/>
      <c r="R155" s="68"/>
      <c r="S155" s="68"/>
      <c r="T155" s="68"/>
      <c r="U155" s="68"/>
      <c r="V155" s="68"/>
      <c r="W155" s="68"/>
    </row>
    <row r="156" ht="32.25" customHeight="1">
      <c r="J156" s="68"/>
      <c r="K156" s="68"/>
      <c r="L156" s="68"/>
      <c r="M156" s="68"/>
      <c r="N156" s="68"/>
      <c r="O156" s="68"/>
      <c r="P156" s="68"/>
      <c r="Q156" s="68"/>
      <c r="R156" s="68"/>
      <c r="S156" s="68"/>
      <c r="T156" s="68"/>
      <c r="U156" s="68"/>
      <c r="V156" s="68"/>
      <c r="W156" s="68"/>
    </row>
    <row r="157" ht="36.0" customHeight="1">
      <c r="I157" s="68"/>
      <c r="J157" s="68"/>
      <c r="K157" s="68"/>
      <c r="L157" s="68"/>
      <c r="M157" s="68"/>
      <c r="N157" s="68"/>
      <c r="O157" s="68"/>
      <c r="P157" s="68"/>
      <c r="Q157" s="68"/>
      <c r="R157" s="68"/>
      <c r="S157" s="68"/>
      <c r="T157" s="68"/>
      <c r="U157" s="68"/>
      <c r="V157" s="68"/>
      <c r="W157" s="68"/>
    </row>
    <row r="158" ht="33.0" customHeight="1">
      <c r="I158" s="68"/>
      <c r="J158" s="68"/>
      <c r="K158" s="68"/>
      <c r="L158" s="68"/>
      <c r="M158" s="68"/>
      <c r="N158" s="68"/>
      <c r="O158" s="68"/>
      <c r="P158" s="68"/>
      <c r="Q158" s="68"/>
      <c r="R158" s="68"/>
      <c r="S158" s="68"/>
      <c r="T158" s="68"/>
      <c r="U158" s="68"/>
      <c r="V158" s="68"/>
      <c r="W158" s="68"/>
    </row>
    <row r="159" ht="42.0" customHeight="1">
      <c r="I159" s="68"/>
      <c r="J159" s="68"/>
      <c r="K159" s="68"/>
      <c r="L159" s="68"/>
      <c r="M159" s="68"/>
      <c r="N159" s="68"/>
      <c r="O159" s="68"/>
      <c r="P159" s="68"/>
      <c r="Q159" s="68"/>
      <c r="R159" s="68"/>
      <c r="S159" s="68"/>
      <c r="T159" s="68"/>
      <c r="U159" s="68"/>
      <c r="V159" s="68"/>
      <c r="W159" s="68"/>
    </row>
    <row r="160" ht="31.5" customHeight="1">
      <c r="I160" s="68"/>
      <c r="J160" s="68"/>
      <c r="K160" s="68"/>
      <c r="L160" s="68"/>
      <c r="M160" s="68"/>
      <c r="N160" s="68"/>
      <c r="O160" s="68"/>
      <c r="P160" s="68"/>
      <c r="Q160" s="68"/>
      <c r="R160" s="68"/>
      <c r="S160" s="68"/>
      <c r="T160" s="68"/>
      <c r="U160" s="68"/>
      <c r="V160" s="68"/>
      <c r="W160" s="68"/>
    </row>
    <row r="161">
      <c r="A161" s="47"/>
      <c r="B161" s="43"/>
      <c r="C161" s="44"/>
      <c r="D161" s="43"/>
      <c r="E161" s="43"/>
      <c r="F161" s="43"/>
      <c r="G161" s="68"/>
      <c r="H161" s="68"/>
      <c r="I161" s="68"/>
      <c r="J161" s="68"/>
      <c r="K161" s="68"/>
      <c r="L161" s="68"/>
      <c r="M161" s="68"/>
      <c r="N161" s="45"/>
      <c r="O161" s="43"/>
      <c r="P161" s="43"/>
      <c r="Q161" s="43"/>
      <c r="R161" s="68"/>
      <c r="S161" s="68"/>
      <c r="T161" s="68"/>
      <c r="U161" s="68"/>
      <c r="V161" s="68"/>
      <c r="W161" s="68"/>
    </row>
    <row r="162">
      <c r="A162" s="47"/>
      <c r="B162" s="49" t="s">
        <v>75</v>
      </c>
      <c r="C162" s="50"/>
      <c r="D162" s="51"/>
      <c r="E162" s="51"/>
      <c r="F162" s="51"/>
      <c r="G162" s="51"/>
      <c r="H162" s="51"/>
      <c r="I162" s="51"/>
      <c r="J162" s="51"/>
      <c r="K162" s="51"/>
      <c r="L162" s="51"/>
      <c r="M162" s="51"/>
      <c r="N162" s="52" t="s">
        <v>76</v>
      </c>
      <c r="O162" s="52"/>
      <c r="P162" s="51"/>
      <c r="Q162" s="51"/>
      <c r="R162" s="68"/>
      <c r="S162" s="68"/>
      <c r="T162" s="68"/>
      <c r="U162" s="68"/>
      <c r="V162" s="68"/>
      <c r="W162" s="68"/>
    </row>
    <row r="163">
      <c r="A163" s="47"/>
      <c r="B163" s="49" t="s">
        <v>77</v>
      </c>
      <c r="C163" s="55" t="s">
        <v>78</v>
      </c>
      <c r="D163" s="56"/>
      <c r="E163" s="51"/>
      <c r="F163" s="51"/>
      <c r="G163" s="51"/>
      <c r="H163" s="51"/>
      <c r="I163" s="51"/>
      <c r="J163" s="51"/>
      <c r="K163" s="51"/>
      <c r="L163" s="51"/>
      <c r="M163" s="51"/>
      <c r="N163" s="57" t="s">
        <v>79</v>
      </c>
      <c r="O163" s="57"/>
      <c r="P163" s="51"/>
      <c r="Q163" s="51"/>
      <c r="R163" s="68"/>
      <c r="S163" s="68"/>
      <c r="T163" s="68"/>
      <c r="U163" s="68"/>
      <c r="V163" s="68"/>
      <c r="W163" s="68"/>
    </row>
    <row r="164">
      <c r="A164" s="47"/>
      <c r="B164" s="51"/>
      <c r="C164" s="52"/>
      <c r="D164" s="56"/>
      <c r="E164" s="51"/>
      <c r="F164" s="51"/>
      <c r="G164" s="51"/>
      <c r="H164" s="51"/>
      <c r="I164" s="51"/>
      <c r="J164" s="51"/>
      <c r="K164" s="51"/>
      <c r="L164" s="51"/>
      <c r="M164" s="51"/>
      <c r="N164" s="57" t="s">
        <v>80</v>
      </c>
      <c r="O164" s="57"/>
      <c r="P164" s="51"/>
      <c r="Q164" s="51"/>
      <c r="R164" s="68"/>
      <c r="S164" s="68"/>
      <c r="T164" s="68"/>
      <c r="U164" s="68"/>
      <c r="V164" s="68"/>
      <c r="W164" s="68"/>
    </row>
    <row r="165">
      <c r="A165" s="33"/>
      <c r="B165" s="43"/>
      <c r="C165" s="45"/>
      <c r="D165" s="43"/>
      <c r="E165" s="43"/>
      <c r="F165" s="43"/>
      <c r="G165" s="43"/>
      <c r="H165" s="43"/>
      <c r="I165" s="43"/>
      <c r="J165" s="43"/>
      <c r="K165" s="43"/>
      <c r="L165" s="43"/>
      <c r="M165" s="43"/>
      <c r="N165" s="43"/>
      <c r="O165" s="43"/>
      <c r="P165" s="43"/>
      <c r="Q165" s="43"/>
      <c r="R165" s="68"/>
      <c r="S165" s="68"/>
      <c r="T165" s="68"/>
      <c r="U165" s="68"/>
      <c r="V165" s="68"/>
      <c r="W165" s="68"/>
    </row>
    <row r="166">
      <c r="B166" s="68"/>
      <c r="C166" s="68"/>
      <c r="D166" s="68"/>
      <c r="E166" s="68"/>
      <c r="F166" s="68"/>
      <c r="G166" s="68"/>
      <c r="H166" s="68"/>
      <c r="I166" s="68"/>
      <c r="J166" s="68"/>
      <c r="K166" s="68"/>
      <c r="L166" s="68"/>
      <c r="M166" s="68"/>
      <c r="N166" s="68"/>
      <c r="O166" s="68"/>
      <c r="P166" s="68"/>
      <c r="Q166" s="68"/>
      <c r="R166" s="68"/>
      <c r="S166" s="68"/>
      <c r="T166" s="68"/>
      <c r="U166" s="68"/>
      <c r="V166" s="68"/>
      <c r="W166" s="68"/>
    </row>
    <row r="167">
      <c r="B167" s="68"/>
      <c r="C167" s="68"/>
      <c r="D167" s="68"/>
      <c r="E167" s="68"/>
      <c r="F167" s="68"/>
      <c r="G167" s="68"/>
      <c r="H167" s="68"/>
      <c r="I167" s="68"/>
      <c r="J167" s="68"/>
      <c r="K167" s="68"/>
      <c r="L167" s="68"/>
      <c r="M167" s="68"/>
      <c r="N167" s="68"/>
      <c r="O167" s="68"/>
      <c r="P167" s="68"/>
      <c r="Q167" s="68"/>
      <c r="R167" s="68"/>
      <c r="S167" s="68"/>
      <c r="T167" s="68"/>
      <c r="U167" s="68"/>
      <c r="V167" s="68"/>
      <c r="W167" s="68"/>
    </row>
    <row r="168">
      <c r="B168" s="114" t="s">
        <v>355</v>
      </c>
      <c r="C168" s="68"/>
      <c r="D168" s="369"/>
      <c r="E168" s="68"/>
      <c r="F168" s="68"/>
      <c r="G168" s="68"/>
      <c r="H168" s="68"/>
      <c r="I168" s="68"/>
      <c r="J168" s="114" t="s">
        <v>356</v>
      </c>
      <c r="K168" s="68"/>
      <c r="L168" s="68"/>
      <c r="M168" s="68"/>
      <c r="N168" s="68"/>
      <c r="O168" s="68"/>
      <c r="P168" s="68"/>
      <c r="Q168" s="68"/>
      <c r="R168" s="68"/>
      <c r="S168" s="68"/>
      <c r="T168" s="68"/>
      <c r="U168" s="68"/>
      <c r="V168" s="68"/>
      <c r="W168" s="68"/>
    </row>
    <row r="169">
      <c r="B169" s="114" t="s">
        <v>357</v>
      </c>
      <c r="C169" s="68"/>
      <c r="D169" s="369"/>
      <c r="E169" s="68"/>
      <c r="F169" s="68"/>
      <c r="G169" s="68"/>
      <c r="H169" s="68"/>
      <c r="I169" s="68"/>
      <c r="J169" s="114" t="s">
        <v>357</v>
      </c>
      <c r="K169" s="68"/>
      <c r="L169" s="68"/>
      <c r="M169" s="68"/>
      <c r="N169" s="68"/>
      <c r="O169" s="68"/>
      <c r="P169" s="68"/>
      <c r="Q169" s="114" t="s">
        <v>358</v>
      </c>
      <c r="R169" s="68"/>
      <c r="S169" s="68"/>
      <c r="T169" s="68"/>
      <c r="U169" s="68"/>
      <c r="V169" s="68"/>
      <c r="W169" s="68"/>
    </row>
    <row r="170">
      <c r="B170" s="114" t="s">
        <v>359</v>
      </c>
      <c r="C170" s="68"/>
      <c r="D170" s="68"/>
      <c r="E170" s="68"/>
      <c r="F170" s="68"/>
      <c r="G170" s="68"/>
      <c r="H170" s="68"/>
      <c r="I170" s="68"/>
      <c r="J170" s="114" t="s">
        <v>359</v>
      </c>
      <c r="K170" s="68"/>
      <c r="L170" s="68"/>
      <c r="M170" s="68"/>
      <c r="N170" s="68"/>
      <c r="O170" s="68"/>
      <c r="P170" s="68"/>
      <c r="Q170" s="114" t="s">
        <v>360</v>
      </c>
      <c r="R170" s="68"/>
      <c r="S170" s="68"/>
      <c r="T170" s="68"/>
      <c r="U170" s="68"/>
      <c r="V170" s="68"/>
      <c r="W170" s="68"/>
    </row>
    <row r="171">
      <c r="B171" s="370" t="s">
        <v>361</v>
      </c>
      <c r="C171" s="100" t="s">
        <v>362</v>
      </c>
      <c r="D171" s="101" t="s">
        <v>363</v>
      </c>
      <c r="E171" s="303" t="s">
        <v>364</v>
      </c>
      <c r="F171" s="303" t="s">
        <v>114</v>
      </c>
      <c r="G171" s="303" t="s">
        <v>114</v>
      </c>
      <c r="H171" s="101" t="s">
        <v>365</v>
      </c>
      <c r="I171" s="371"/>
      <c r="J171" s="100" t="s">
        <v>362</v>
      </c>
      <c r="K171" s="101" t="s">
        <v>363</v>
      </c>
      <c r="L171" s="303" t="s">
        <v>364</v>
      </c>
      <c r="M171" s="303" t="s">
        <v>114</v>
      </c>
      <c r="N171" s="303" t="s">
        <v>114</v>
      </c>
      <c r="O171" s="101" t="s">
        <v>365</v>
      </c>
      <c r="P171" s="371"/>
      <c r="Q171" s="100" t="s">
        <v>366</v>
      </c>
      <c r="R171" s="101" t="s">
        <v>367</v>
      </c>
      <c r="S171" s="101" t="s">
        <v>368</v>
      </c>
      <c r="T171" s="303" t="s">
        <v>114</v>
      </c>
      <c r="U171" s="303" t="s">
        <v>369</v>
      </c>
      <c r="V171" s="101" t="s">
        <v>365</v>
      </c>
      <c r="W171" s="371"/>
    </row>
    <row r="172">
      <c r="B172" s="372" t="s">
        <v>378</v>
      </c>
      <c r="C172" s="306" t="s">
        <v>379</v>
      </c>
      <c r="D172" s="111" t="s">
        <v>379</v>
      </c>
      <c r="E172" s="111" t="s">
        <v>380</v>
      </c>
      <c r="F172" s="110" t="s">
        <v>381</v>
      </c>
      <c r="G172" s="111" t="s">
        <v>361</v>
      </c>
      <c r="H172" s="111" t="s">
        <v>114</v>
      </c>
      <c r="I172" s="112" t="s">
        <v>382</v>
      </c>
      <c r="J172" s="306" t="s">
        <v>379</v>
      </c>
      <c r="K172" s="111" t="s">
        <v>379</v>
      </c>
      <c r="L172" s="111" t="s">
        <v>380</v>
      </c>
      <c r="M172" s="110" t="s">
        <v>381</v>
      </c>
      <c r="N172" s="111" t="s">
        <v>361</v>
      </c>
      <c r="O172" s="111" t="s">
        <v>114</v>
      </c>
      <c r="P172" s="112" t="s">
        <v>382</v>
      </c>
      <c r="Q172" s="306" t="s">
        <v>298</v>
      </c>
      <c r="R172" s="115" t="s">
        <v>383</v>
      </c>
      <c r="S172" s="111" t="s">
        <v>384</v>
      </c>
      <c r="T172" s="110" t="s">
        <v>381</v>
      </c>
      <c r="U172" s="111" t="s">
        <v>386</v>
      </c>
      <c r="V172" s="111" t="s">
        <v>114</v>
      </c>
      <c r="W172" s="112" t="s">
        <v>382</v>
      </c>
    </row>
    <row r="173">
      <c r="B173" s="372" t="s">
        <v>399</v>
      </c>
      <c r="C173" s="306" t="s">
        <v>400</v>
      </c>
      <c r="D173" s="111" t="s">
        <v>401</v>
      </c>
      <c r="E173" s="115" t="s">
        <v>402</v>
      </c>
      <c r="F173" s="111" t="s">
        <v>403</v>
      </c>
      <c r="G173" s="111" t="s">
        <v>404</v>
      </c>
      <c r="H173" s="110" t="s">
        <v>405</v>
      </c>
      <c r="I173" s="373"/>
      <c r="J173" s="306" t="s">
        <v>400</v>
      </c>
      <c r="K173" s="111" t="s">
        <v>401</v>
      </c>
      <c r="L173" s="115" t="s">
        <v>402</v>
      </c>
      <c r="M173" s="111" t="s">
        <v>403</v>
      </c>
      <c r="N173" s="111" t="s">
        <v>404</v>
      </c>
      <c r="O173" s="110" t="s">
        <v>405</v>
      </c>
      <c r="P173" s="373"/>
      <c r="Q173" s="306" t="s">
        <v>406</v>
      </c>
      <c r="R173" s="111" t="s">
        <v>407</v>
      </c>
      <c r="S173" s="111" t="s">
        <v>408</v>
      </c>
      <c r="T173" s="111" t="s">
        <v>403</v>
      </c>
      <c r="U173" s="111" t="s">
        <v>404</v>
      </c>
      <c r="V173" s="110" t="s">
        <v>405</v>
      </c>
      <c r="W173" s="373"/>
    </row>
    <row r="174">
      <c r="B174" s="372" t="s">
        <v>419</v>
      </c>
      <c r="C174" s="306" t="s">
        <v>346</v>
      </c>
      <c r="D174" s="111" t="s">
        <v>346</v>
      </c>
      <c r="E174" s="111" t="s">
        <v>420</v>
      </c>
      <c r="F174" s="375">
        <f>if('WAP for Y-AXIS Walls'!I160/'WAP for Y-AXIS Walls'!I159&lt;1,1,'WAP for Y-AXIS Walls'!I160/'WAP for Y-AXIS Walls'!I159)</f>
        <v>1</v>
      </c>
      <c r="G174" s="118"/>
      <c r="H174" s="118"/>
      <c r="I174" s="309"/>
      <c r="J174" s="306" t="s">
        <v>346</v>
      </c>
      <c r="K174" s="111" t="s">
        <v>346</v>
      </c>
      <c r="L174" s="111" t="s">
        <v>420</v>
      </c>
      <c r="M174" s="375">
        <f>if('WAP for Y-AXIS Walls'!I160/'WAP for Y-AXIS Walls'!I159&lt;1,1,'WAP for Y-AXIS Walls'!I160/'WAP for Y-AXIS Walls'!I159)</f>
        <v>1</v>
      </c>
      <c r="N174" s="118"/>
      <c r="O174" s="118"/>
      <c r="P174" s="309"/>
      <c r="Q174" s="113" t="s">
        <v>553</v>
      </c>
      <c r="R174" s="115" t="s">
        <v>422</v>
      </c>
      <c r="S174" s="115" t="s">
        <v>423</v>
      </c>
      <c r="T174" s="375">
        <f>if('WAP for Y-AXIS Walls'!I160/'WAP for Y-AXIS Walls'!I159&lt;1,1,'WAP for Y-AXIS Walls'!I160/'WAP for Y-AXIS Walls'!I159)</f>
        <v>1</v>
      </c>
      <c r="U174" s="118"/>
      <c r="V174" s="118"/>
      <c r="W174" s="309"/>
    </row>
    <row r="175">
      <c r="B175" s="376" t="s">
        <v>432</v>
      </c>
      <c r="C175" s="377" t="s">
        <v>554</v>
      </c>
      <c r="D175" s="378" t="s">
        <v>434</v>
      </c>
      <c r="E175" s="378" t="s">
        <v>435</v>
      </c>
      <c r="F175" s="478" t="s">
        <v>555</v>
      </c>
      <c r="G175" s="378" t="s">
        <v>556</v>
      </c>
      <c r="H175" s="380" t="s">
        <v>438</v>
      </c>
      <c r="I175" s="122"/>
      <c r="J175" s="377" t="s">
        <v>557</v>
      </c>
      <c r="K175" s="378" t="s">
        <v>434</v>
      </c>
      <c r="L175" s="378" t="s">
        <v>435</v>
      </c>
      <c r="M175" s="478" t="s">
        <v>555</v>
      </c>
      <c r="N175" s="378" t="s">
        <v>558</v>
      </c>
      <c r="O175" s="380" t="s">
        <v>438</v>
      </c>
      <c r="P175" s="120"/>
      <c r="Q175" s="377" t="s">
        <v>559</v>
      </c>
      <c r="R175" s="381" t="s">
        <v>560</v>
      </c>
      <c r="S175" s="380" t="s">
        <v>561</v>
      </c>
      <c r="T175" s="380" t="s">
        <v>509</v>
      </c>
      <c r="U175" s="379" t="s">
        <v>562</v>
      </c>
      <c r="V175" s="380" t="s">
        <v>563</v>
      </c>
      <c r="W175" s="122"/>
    </row>
    <row r="176">
      <c r="B176" s="382">
        <f>'WAP for X-AXIS Walls'!$I$149*'WAP for X-AXIS Walls'!$I$142*'WAP for X-AXIS Walls'!$I$143</f>
        <v>575.5913236</v>
      </c>
      <c r="C176" s="383">
        <f t="shared" ref="C176:C180" si="89">T128*$G$210*1000</f>
        <v>-0.02822453797</v>
      </c>
      <c r="D176" s="328">
        <f t="shared" ref="D176:D180" si="90">C176+$F$151</f>
        <v>3.991243438</v>
      </c>
      <c r="E176" s="384">
        <f t="shared" ref="E176:E180" si="91">D176/G128/1000</f>
        <v>0.001376290841</v>
      </c>
      <c r="F176" s="385">
        <f t="shared" ref="F176:F180" si="92">R128*D176/1000*$F$174</f>
        <v>29.10448747</v>
      </c>
      <c r="G176" s="385">
        <f>IF('WAP for X-AXIS Walls'!L111=0,0,F176/('WAP for X-AXIS Walls'!L111*'WAP for X-AXIS Walls'!$I$144))</f>
        <v>224.6005482</v>
      </c>
      <c r="H176" s="324">
        <f t="shared" ref="H176:H180" si="93">G176/B176</f>
        <v>0.3902083632</v>
      </c>
      <c r="I176" s="386" t="str">
        <f t="shared" ref="I176:I180" si="94">if(H176&lt;=1,"OK","NG")</f>
        <v>OK</v>
      </c>
      <c r="J176" s="328">
        <f t="shared" ref="J176:J180" si="95">T128*$R$210*1000</f>
        <v>0.02822453797</v>
      </c>
      <c r="K176" s="328">
        <f t="shared" ref="K176:K180" si="96">J176+$F$151</f>
        <v>4.047692514</v>
      </c>
      <c r="L176" s="384">
        <f t="shared" ref="L176:L180" si="97">K176/G128/1000</f>
        <v>0.001395756039</v>
      </c>
      <c r="M176" s="385">
        <f t="shared" ref="M176:M180" si="98">R128*K176/1000*$M$174</f>
        <v>29.51611894</v>
      </c>
      <c r="N176" s="385">
        <f>IF('WAP for X-AXIS Walls'!L111=0,0,M176/('WAP for X-AXIS Walls'!L111*'WAP for X-AXIS Walls'!$I$144))</f>
        <v>227.7771256</v>
      </c>
      <c r="O176" s="324">
        <f t="shared" ref="O176:O180" si="99">N176/B176</f>
        <v>0.39572717</v>
      </c>
      <c r="P176" s="387" t="str">
        <f t="shared" ref="P176:P180" si="100">if(O176&lt;=1,"OK","NG")</f>
        <v>OK</v>
      </c>
      <c r="Q176" s="388"/>
      <c r="R176" s="328"/>
      <c r="S176" s="142">
        <f t="shared" ref="S176:S180" si="101">R128/$R$181</f>
        <v>0.1344950895</v>
      </c>
      <c r="T176" s="385">
        <f t="shared" ref="T176:T180" si="102">$Q$181*$S176*$T$174*$R$208</f>
        <v>29.31030321</v>
      </c>
      <c r="U176" s="385">
        <f>IF('WAP for X-AXIS Walls'!L111=0,0,T176/('WAP for X-AXIS Walls'!L111*'WAP for X-AXIS Walls'!$I$144))</f>
        <v>226.1888369</v>
      </c>
      <c r="V176" s="324">
        <f t="shared" ref="V176:V180" si="103">U176/B176</f>
        <v>0.3929677666</v>
      </c>
      <c r="W176" s="386" t="str">
        <f t="shared" ref="W176:W180" si="104">if(V176&lt;=1,"OK","NG")</f>
        <v>OK</v>
      </c>
    </row>
    <row r="177">
      <c r="B177" s="382">
        <f>'WAP for X-AXIS Walls'!$I$149*'WAP for X-AXIS Walls'!$I$142*'WAP for X-AXIS Walls'!$I$143</f>
        <v>575.5913236</v>
      </c>
      <c r="C177" s="383">
        <f t="shared" si="89"/>
        <v>-0.02822453797</v>
      </c>
      <c r="D177" s="328">
        <f t="shared" si="90"/>
        <v>3.991243438</v>
      </c>
      <c r="E177" s="384">
        <f t="shared" si="91"/>
        <v>0.001376290841</v>
      </c>
      <c r="F177" s="385">
        <f t="shared" si="92"/>
        <v>79.09458352</v>
      </c>
      <c r="G177" s="385">
        <f>IF('WAP for X-AXIS Walls'!L112=0,0,F177/('WAP for X-AXIS Walls'!L112*'WAP for X-AXIS Walls'!$I$144))</f>
        <v>417.6258294</v>
      </c>
      <c r="H177" s="324">
        <f t="shared" si="93"/>
        <v>0.7255596328</v>
      </c>
      <c r="I177" s="386" t="str">
        <f t="shared" si="94"/>
        <v>OK</v>
      </c>
      <c r="J177" s="328">
        <f t="shared" si="95"/>
        <v>0.02822453797</v>
      </c>
      <c r="K177" s="328">
        <f t="shared" si="96"/>
        <v>4.047692514</v>
      </c>
      <c r="L177" s="384">
        <f t="shared" si="97"/>
        <v>0.001395756039</v>
      </c>
      <c r="M177" s="385">
        <f t="shared" si="98"/>
        <v>80.21323644</v>
      </c>
      <c r="N177" s="385">
        <f>IF('WAP for X-AXIS Walls'!L112=0,0,M177/('WAP for X-AXIS Walls'!L112*'WAP for X-AXIS Walls'!$I$144))</f>
        <v>423.5324078</v>
      </c>
      <c r="O177" s="324">
        <f t="shared" si="99"/>
        <v>0.73582139</v>
      </c>
      <c r="P177" s="387" t="str">
        <f t="shared" si="100"/>
        <v>OK</v>
      </c>
      <c r="Q177" s="388"/>
      <c r="R177" s="328"/>
      <c r="S177" s="142">
        <f t="shared" si="101"/>
        <v>0.3655049105</v>
      </c>
      <c r="T177" s="385">
        <f t="shared" si="102"/>
        <v>79.65390998</v>
      </c>
      <c r="U177" s="385">
        <f>IF('WAP for X-AXIS Walls'!L112=0,0,T177/('WAP for X-AXIS Walls'!L112*'WAP for X-AXIS Walls'!$I$144))</f>
        <v>420.5791186</v>
      </c>
      <c r="V177" s="324">
        <f t="shared" si="103"/>
        <v>0.7306905114</v>
      </c>
      <c r="W177" s="386" t="str">
        <f t="shared" si="104"/>
        <v>OK</v>
      </c>
    </row>
    <row r="178">
      <c r="B178" s="382">
        <f>'WAP for X-AXIS Walls'!$I$149*'WAP for X-AXIS Walls'!$I$142*'WAP for X-AXIS Walls'!$I$143</f>
        <v>575.5913236</v>
      </c>
      <c r="C178" s="383">
        <f t="shared" si="89"/>
        <v>-0.02822453797</v>
      </c>
      <c r="D178" s="328">
        <f t="shared" si="90"/>
        <v>3.991243438</v>
      </c>
      <c r="E178" s="384">
        <f t="shared" si="91"/>
        <v>0.001376290841</v>
      </c>
      <c r="F178" s="385">
        <f t="shared" si="92"/>
        <v>0</v>
      </c>
      <c r="G178" s="385">
        <f>IF('WAP for X-AXIS Walls'!L113=0,0,F178/('WAP for X-AXIS Walls'!L113*'WAP for X-AXIS Walls'!$I$144))</f>
        <v>0</v>
      </c>
      <c r="H178" s="324">
        <f t="shared" si="93"/>
        <v>0</v>
      </c>
      <c r="I178" s="386" t="str">
        <f t="shared" si="94"/>
        <v>OK</v>
      </c>
      <c r="J178" s="328">
        <f t="shared" si="95"/>
        <v>0.02822453797</v>
      </c>
      <c r="K178" s="328">
        <f t="shared" si="96"/>
        <v>4.047692514</v>
      </c>
      <c r="L178" s="384">
        <f t="shared" si="97"/>
        <v>0.001395756039</v>
      </c>
      <c r="M178" s="385">
        <f t="shared" si="98"/>
        <v>0</v>
      </c>
      <c r="N178" s="385">
        <f>IF('WAP for X-AXIS Walls'!L113=0,0,M178/('WAP for X-AXIS Walls'!L113*'WAP for X-AXIS Walls'!$I$144))</f>
        <v>0</v>
      </c>
      <c r="O178" s="324">
        <f t="shared" si="99"/>
        <v>0</v>
      </c>
      <c r="P178" s="387" t="str">
        <f t="shared" si="100"/>
        <v>OK</v>
      </c>
      <c r="Q178" s="391"/>
      <c r="R178" s="385"/>
      <c r="S178" s="142">
        <f t="shared" si="101"/>
        <v>0</v>
      </c>
      <c r="T178" s="385">
        <f t="shared" si="102"/>
        <v>0</v>
      </c>
      <c r="U178" s="385">
        <f>IF('WAP for X-AXIS Walls'!L113=0,0,T178/('WAP for X-AXIS Walls'!L113*'WAP for X-AXIS Walls'!$I$144))</f>
        <v>0</v>
      </c>
      <c r="V178" s="324">
        <f t="shared" si="103"/>
        <v>0</v>
      </c>
      <c r="W178" s="386" t="str">
        <f t="shared" si="104"/>
        <v>OK</v>
      </c>
    </row>
    <row r="179">
      <c r="B179" s="382">
        <f>'WAP for X-AXIS Walls'!$I$149*'WAP for X-AXIS Walls'!$I$142*'WAP for X-AXIS Walls'!$I$143</f>
        <v>575.5913236</v>
      </c>
      <c r="C179" s="383">
        <f t="shared" si="89"/>
        <v>-0.02822453797</v>
      </c>
      <c r="D179" s="328">
        <f t="shared" si="90"/>
        <v>3.991243438</v>
      </c>
      <c r="E179" s="384">
        <f t="shared" si="91"/>
        <v>0.001376290841</v>
      </c>
      <c r="F179" s="385">
        <f t="shared" si="92"/>
        <v>79.09458352</v>
      </c>
      <c r="G179" s="385">
        <f>IF('WAP for X-AXIS Walls'!L114=0,0,F179/('WAP for X-AXIS Walls'!L114*'WAP for X-AXIS Walls'!$I$144))</f>
        <v>417.6258294</v>
      </c>
      <c r="H179" s="324">
        <f t="shared" si="93"/>
        <v>0.7255596328</v>
      </c>
      <c r="I179" s="386" t="str">
        <f t="shared" si="94"/>
        <v>OK</v>
      </c>
      <c r="J179" s="328">
        <f t="shared" si="95"/>
        <v>0.02822453797</v>
      </c>
      <c r="K179" s="328">
        <f t="shared" si="96"/>
        <v>4.047692514</v>
      </c>
      <c r="L179" s="384">
        <f t="shared" si="97"/>
        <v>0.001395756039</v>
      </c>
      <c r="M179" s="385">
        <f t="shared" si="98"/>
        <v>80.21323644</v>
      </c>
      <c r="N179" s="385">
        <f>IF('WAP for X-AXIS Walls'!L114=0,0,M179/('WAP for X-AXIS Walls'!L114*'WAP for X-AXIS Walls'!$I$144))</f>
        <v>423.5324078</v>
      </c>
      <c r="O179" s="324">
        <f t="shared" si="99"/>
        <v>0.73582139</v>
      </c>
      <c r="P179" s="387" t="str">
        <f t="shared" si="100"/>
        <v>OK</v>
      </c>
      <c r="Q179" s="391"/>
      <c r="R179" s="385"/>
      <c r="S179" s="142">
        <f t="shared" si="101"/>
        <v>0.3655049105</v>
      </c>
      <c r="T179" s="385">
        <f t="shared" si="102"/>
        <v>79.65390998</v>
      </c>
      <c r="U179" s="385">
        <f>IF('WAP for X-AXIS Walls'!L114=0,0,T179/('WAP for X-AXIS Walls'!L114*'WAP for X-AXIS Walls'!$I$144))</f>
        <v>420.5791186</v>
      </c>
      <c r="V179" s="324">
        <f t="shared" si="103"/>
        <v>0.7306905114</v>
      </c>
      <c r="W179" s="386" t="str">
        <f t="shared" si="104"/>
        <v>OK</v>
      </c>
    </row>
    <row r="180">
      <c r="B180" s="382">
        <f>'WAP for X-AXIS Walls'!$I$149*'WAP for X-AXIS Walls'!$I$142*'WAP for X-AXIS Walls'!$I$143</f>
        <v>575.5913236</v>
      </c>
      <c r="C180" s="383">
        <f t="shared" si="89"/>
        <v>-0.02822453797</v>
      </c>
      <c r="D180" s="328">
        <f t="shared" si="90"/>
        <v>3.991243438</v>
      </c>
      <c r="E180" s="384">
        <f t="shared" si="91"/>
        <v>0.001376290841</v>
      </c>
      <c r="F180" s="385">
        <f t="shared" si="92"/>
        <v>29.10448747</v>
      </c>
      <c r="G180" s="385">
        <f>IF('WAP for X-AXIS Walls'!L115=0,0,F180/('WAP for X-AXIS Walls'!L115*'WAP for X-AXIS Walls'!$I$144))</f>
        <v>224.6005482</v>
      </c>
      <c r="H180" s="324">
        <f t="shared" si="93"/>
        <v>0.3902083632</v>
      </c>
      <c r="I180" s="386" t="str">
        <f t="shared" si="94"/>
        <v>OK</v>
      </c>
      <c r="J180" s="328">
        <f t="shared" si="95"/>
        <v>0.02822453797</v>
      </c>
      <c r="K180" s="328">
        <f t="shared" si="96"/>
        <v>4.047692514</v>
      </c>
      <c r="L180" s="384">
        <f t="shared" si="97"/>
        <v>0.001395756039</v>
      </c>
      <c r="M180" s="385">
        <f t="shared" si="98"/>
        <v>29.51611894</v>
      </c>
      <c r="N180" s="385">
        <f>IF('WAP for X-AXIS Walls'!L115=0,0,M180/('WAP for X-AXIS Walls'!L115*'WAP for X-AXIS Walls'!$I$144))</f>
        <v>227.7771256</v>
      </c>
      <c r="O180" s="324">
        <f t="shared" si="99"/>
        <v>0.39572717</v>
      </c>
      <c r="P180" s="387" t="str">
        <f t="shared" si="100"/>
        <v>OK</v>
      </c>
      <c r="Q180" s="391"/>
      <c r="R180" s="385"/>
      <c r="S180" s="142">
        <f t="shared" si="101"/>
        <v>0.1344950895</v>
      </c>
      <c r="T180" s="385">
        <f t="shared" si="102"/>
        <v>29.31030321</v>
      </c>
      <c r="U180" s="385">
        <f>IF('WAP for X-AXIS Walls'!L115=0,0,T180/('WAP for X-AXIS Walls'!L115*'WAP for X-AXIS Walls'!$I$144))</f>
        <v>226.1888369</v>
      </c>
      <c r="V180" s="324">
        <f t="shared" si="103"/>
        <v>0.3929677666</v>
      </c>
      <c r="W180" s="386" t="str">
        <f t="shared" si="104"/>
        <v>OK</v>
      </c>
    </row>
    <row r="181">
      <c r="B181" s="382"/>
      <c r="C181" s="383"/>
      <c r="D181" s="328"/>
      <c r="E181" s="384"/>
      <c r="F181" s="385"/>
      <c r="G181" s="385"/>
      <c r="H181" s="324"/>
      <c r="I181" s="386"/>
      <c r="J181" s="328"/>
      <c r="K181" s="328"/>
      <c r="L181" s="384"/>
      <c r="M181" s="385"/>
      <c r="N181" s="385"/>
      <c r="O181" s="324"/>
      <c r="P181" s="387"/>
      <c r="Q181" s="391">
        <f>'WAP for X-AXIS Walls'!O116/'WAP for X-AXIS Walls'!O124</f>
        <v>0.5</v>
      </c>
      <c r="R181" s="385">
        <f>SUM(R128:R132)</f>
        <v>54218.22681</v>
      </c>
      <c r="S181" s="142"/>
      <c r="T181" s="385"/>
      <c r="U181" s="385"/>
      <c r="V181" s="324"/>
      <c r="W181" s="386"/>
    </row>
    <row r="182">
      <c r="B182" s="382">
        <f>'WAP for X-AXIS Walls'!$I$149*'WAP for X-AXIS Walls'!$I$142*'WAP for X-AXIS Walls'!$I$143</f>
        <v>575.5913236</v>
      </c>
      <c r="C182" s="383">
        <f t="shared" ref="C182:C186" si="105">T134*$G$210*1000</f>
        <v>0.02822453797</v>
      </c>
      <c r="D182" s="328">
        <f t="shared" ref="D182:D186" si="106">C182+$F$151</f>
        <v>4.047692514</v>
      </c>
      <c r="E182" s="384">
        <f t="shared" ref="E182:E186" si="107">D182/G134/1000</f>
        <v>0.001395756039</v>
      </c>
      <c r="F182" s="385">
        <f t="shared" ref="F182:F186" si="108">R134*D182/1000*$F$174</f>
        <v>29.51611894</v>
      </c>
      <c r="G182" s="385">
        <f>IF('WAP for X-AXIS Walls'!L117=0,0,F182/('WAP for X-AXIS Walls'!L117*'WAP for X-AXIS Walls'!$I$144))</f>
        <v>227.7771256</v>
      </c>
      <c r="H182" s="324">
        <f t="shared" ref="H182:H186" si="109">G182/B182</f>
        <v>0.39572717</v>
      </c>
      <c r="I182" s="386" t="str">
        <f t="shared" ref="I182:I186" si="110">if(H182&lt;=1,"OK","NG")</f>
        <v>OK</v>
      </c>
      <c r="J182" s="328">
        <f t="shared" ref="J182:J186" si="111">T134*$R$210*1000</f>
        <v>-0.02822453797</v>
      </c>
      <c r="K182" s="328">
        <f t="shared" ref="K182:K186" si="112">J182+$F$151</f>
        <v>3.991243438</v>
      </c>
      <c r="L182" s="384">
        <f t="shared" ref="L182:L186" si="113">K182/G134/1000</f>
        <v>0.001376290841</v>
      </c>
      <c r="M182" s="385">
        <f t="shared" ref="M182:M186" si="114">R134*K182/1000*$M$174</f>
        <v>29.10448747</v>
      </c>
      <c r="N182" s="385">
        <f>IF('WAP for X-AXIS Walls'!L117=0,0,M182/('WAP for X-AXIS Walls'!L117*'WAP for X-AXIS Walls'!$I$144))</f>
        <v>224.6005482</v>
      </c>
      <c r="O182" s="324">
        <f t="shared" ref="O182:O186" si="115">N182/B182</f>
        <v>0.3902083632</v>
      </c>
      <c r="P182" s="387" t="str">
        <f t="shared" ref="P182:P186" si="116">if(O182&lt;=1,"OK","NG")</f>
        <v>OK</v>
      </c>
      <c r="Q182" s="391"/>
      <c r="R182" s="385"/>
      <c r="S182" s="143">
        <f t="shared" ref="S182:S186" si="117">R134/$R$187</f>
        <v>0.1344950895</v>
      </c>
      <c r="T182" s="385">
        <f t="shared" ref="T182:T186" si="118">$Q$187*$S182*$T$174*$R$208</f>
        <v>29.31030321</v>
      </c>
      <c r="U182" s="385">
        <f>IF('WAP for X-AXIS Walls'!L117=0,0,T182/('WAP for X-AXIS Walls'!L117*'WAP for X-AXIS Walls'!$I$144))</f>
        <v>226.1888369</v>
      </c>
      <c r="V182" s="324">
        <f t="shared" ref="V182:V186" si="119">U182/B182</f>
        <v>0.3929677666</v>
      </c>
      <c r="W182" s="386" t="str">
        <f t="shared" ref="W182:W186" si="120">if(V182&lt;=1,"OK","NG")</f>
        <v>OK</v>
      </c>
    </row>
    <row r="183">
      <c r="B183" s="382">
        <f>'WAP for X-AXIS Walls'!$I$149*'WAP for X-AXIS Walls'!$I$142*'WAP for X-AXIS Walls'!$I$143</f>
        <v>575.5913236</v>
      </c>
      <c r="C183" s="383">
        <f t="shared" si="105"/>
        <v>0.02822453797</v>
      </c>
      <c r="D183" s="328">
        <f t="shared" si="106"/>
        <v>4.047692514</v>
      </c>
      <c r="E183" s="384">
        <f t="shared" si="107"/>
        <v>0.001395756039</v>
      </c>
      <c r="F183" s="385">
        <f t="shared" si="108"/>
        <v>80.21323644</v>
      </c>
      <c r="G183" s="385">
        <f>IF('WAP for X-AXIS Walls'!L118=0,0,F183/('WAP for X-AXIS Walls'!L118*'WAP for X-AXIS Walls'!$I$144))</f>
        <v>423.5324078</v>
      </c>
      <c r="H183" s="324">
        <f t="shared" si="109"/>
        <v>0.73582139</v>
      </c>
      <c r="I183" s="386" t="str">
        <f t="shared" si="110"/>
        <v>OK</v>
      </c>
      <c r="J183" s="328">
        <f t="shared" si="111"/>
        <v>-0.02822453797</v>
      </c>
      <c r="K183" s="328">
        <f t="shared" si="112"/>
        <v>3.991243438</v>
      </c>
      <c r="L183" s="384">
        <f t="shared" si="113"/>
        <v>0.001376290841</v>
      </c>
      <c r="M183" s="385">
        <f t="shared" si="114"/>
        <v>79.09458352</v>
      </c>
      <c r="N183" s="385">
        <f>IF('WAP for X-AXIS Walls'!L118=0,0,M183/('WAP for X-AXIS Walls'!L118*'WAP for X-AXIS Walls'!$I$144))</f>
        <v>417.6258294</v>
      </c>
      <c r="O183" s="324">
        <f t="shared" si="115"/>
        <v>0.7255596328</v>
      </c>
      <c r="P183" s="387" t="str">
        <f t="shared" si="116"/>
        <v>OK</v>
      </c>
      <c r="Q183" s="391"/>
      <c r="R183" s="385"/>
      <c r="S183" s="143">
        <f t="shared" si="117"/>
        <v>0.3655049105</v>
      </c>
      <c r="T183" s="385">
        <f t="shared" si="118"/>
        <v>79.65390998</v>
      </c>
      <c r="U183" s="385">
        <f>IF('WAP for X-AXIS Walls'!L118=0,0,T183/('WAP for X-AXIS Walls'!L118*'WAP for X-AXIS Walls'!$I$144))</f>
        <v>420.5791186</v>
      </c>
      <c r="V183" s="324">
        <f t="shared" si="119"/>
        <v>0.7306905114</v>
      </c>
      <c r="W183" s="386" t="str">
        <f t="shared" si="120"/>
        <v>OK</v>
      </c>
    </row>
    <row r="184">
      <c r="B184" s="382">
        <f>'WAP for X-AXIS Walls'!$I$149*'WAP for X-AXIS Walls'!$I$142*'WAP for X-AXIS Walls'!$I$143</f>
        <v>575.5913236</v>
      </c>
      <c r="C184" s="383">
        <f t="shared" si="105"/>
        <v>0.02822453797</v>
      </c>
      <c r="D184" s="328">
        <f t="shared" si="106"/>
        <v>4.047692514</v>
      </c>
      <c r="E184" s="384">
        <f t="shared" si="107"/>
        <v>0.001395756039</v>
      </c>
      <c r="F184" s="385">
        <f t="shared" si="108"/>
        <v>0</v>
      </c>
      <c r="G184" s="385">
        <f>IF('WAP for X-AXIS Walls'!L119=0,0,F184/('WAP for X-AXIS Walls'!L119*'WAP for X-AXIS Walls'!$I$144))</f>
        <v>0</v>
      </c>
      <c r="H184" s="324">
        <f t="shared" si="109"/>
        <v>0</v>
      </c>
      <c r="I184" s="386" t="str">
        <f t="shared" si="110"/>
        <v>OK</v>
      </c>
      <c r="J184" s="328">
        <f t="shared" si="111"/>
        <v>-0.02822453797</v>
      </c>
      <c r="K184" s="328">
        <f t="shared" si="112"/>
        <v>3.991243438</v>
      </c>
      <c r="L184" s="384">
        <f t="shared" si="113"/>
        <v>0.001376290841</v>
      </c>
      <c r="M184" s="385">
        <f t="shared" si="114"/>
        <v>0</v>
      </c>
      <c r="N184" s="385">
        <f>IF('WAP for X-AXIS Walls'!L119=0,0,M184/('WAP for X-AXIS Walls'!L119*'WAP for X-AXIS Walls'!$I$144))</f>
        <v>0</v>
      </c>
      <c r="O184" s="324">
        <f t="shared" si="115"/>
        <v>0</v>
      </c>
      <c r="P184" s="387" t="str">
        <f t="shared" si="116"/>
        <v>OK</v>
      </c>
      <c r="Q184" s="391"/>
      <c r="R184" s="385"/>
      <c r="S184" s="143">
        <f t="shared" si="117"/>
        <v>0</v>
      </c>
      <c r="T184" s="385">
        <f t="shared" si="118"/>
        <v>0</v>
      </c>
      <c r="U184" s="385">
        <f>IF('WAP for X-AXIS Walls'!L119=0,0,T184/('WAP for X-AXIS Walls'!L119*'WAP for X-AXIS Walls'!$I$144))</f>
        <v>0</v>
      </c>
      <c r="V184" s="324">
        <f t="shared" si="119"/>
        <v>0</v>
      </c>
      <c r="W184" s="386" t="str">
        <f t="shared" si="120"/>
        <v>OK</v>
      </c>
    </row>
    <row r="185">
      <c r="B185" s="382">
        <f>'WAP for X-AXIS Walls'!$I$149*'WAP for X-AXIS Walls'!$I$142*'WAP for X-AXIS Walls'!$I$143</f>
        <v>575.5913236</v>
      </c>
      <c r="C185" s="383">
        <f t="shared" si="105"/>
        <v>0.02822453797</v>
      </c>
      <c r="D185" s="328">
        <f t="shared" si="106"/>
        <v>4.047692514</v>
      </c>
      <c r="E185" s="384">
        <f t="shared" si="107"/>
        <v>0.001395756039</v>
      </c>
      <c r="F185" s="385">
        <f t="shared" si="108"/>
        <v>80.21323644</v>
      </c>
      <c r="G185" s="385">
        <f>IF('WAP for X-AXIS Walls'!L120=0,0,F185/('WAP for X-AXIS Walls'!L120*'WAP for X-AXIS Walls'!$I$144))</f>
        <v>423.5324078</v>
      </c>
      <c r="H185" s="324">
        <f t="shared" si="109"/>
        <v>0.73582139</v>
      </c>
      <c r="I185" s="386" t="str">
        <f t="shared" si="110"/>
        <v>OK</v>
      </c>
      <c r="J185" s="328">
        <f t="shared" si="111"/>
        <v>-0.02822453797</v>
      </c>
      <c r="K185" s="328">
        <f t="shared" si="112"/>
        <v>3.991243438</v>
      </c>
      <c r="L185" s="384">
        <f t="shared" si="113"/>
        <v>0.001376290841</v>
      </c>
      <c r="M185" s="385">
        <f t="shared" si="114"/>
        <v>79.09458352</v>
      </c>
      <c r="N185" s="385">
        <f>IF('WAP for X-AXIS Walls'!L120=0,0,M185/('WAP for X-AXIS Walls'!L120*'WAP for X-AXIS Walls'!$I$144))</f>
        <v>417.6258294</v>
      </c>
      <c r="O185" s="324">
        <f t="shared" si="115"/>
        <v>0.7255596328</v>
      </c>
      <c r="P185" s="387" t="str">
        <f t="shared" si="116"/>
        <v>OK</v>
      </c>
      <c r="Q185" s="391"/>
      <c r="R185" s="385"/>
      <c r="S185" s="143">
        <f t="shared" si="117"/>
        <v>0.3655049105</v>
      </c>
      <c r="T185" s="385">
        <f t="shared" si="118"/>
        <v>79.65390998</v>
      </c>
      <c r="U185" s="385">
        <f>IF('WAP for X-AXIS Walls'!L120=0,0,T185/('WAP for X-AXIS Walls'!L120*'WAP for X-AXIS Walls'!$I$144))</f>
        <v>420.5791186</v>
      </c>
      <c r="V185" s="324">
        <f t="shared" si="119"/>
        <v>0.7306905114</v>
      </c>
      <c r="W185" s="386" t="str">
        <f t="shared" si="120"/>
        <v>OK</v>
      </c>
    </row>
    <row r="186">
      <c r="B186" s="382">
        <f>'WAP for X-AXIS Walls'!$I$149*'WAP for X-AXIS Walls'!$I$142*'WAP for X-AXIS Walls'!$I$143</f>
        <v>575.5913236</v>
      </c>
      <c r="C186" s="383">
        <f t="shared" si="105"/>
        <v>0.02822453797</v>
      </c>
      <c r="D186" s="328">
        <f t="shared" si="106"/>
        <v>4.047692514</v>
      </c>
      <c r="E186" s="384">
        <f t="shared" si="107"/>
        <v>0.001395756039</v>
      </c>
      <c r="F186" s="385">
        <f t="shared" si="108"/>
        <v>29.51611894</v>
      </c>
      <c r="G186" s="385">
        <f>IF('WAP for X-AXIS Walls'!L121=0,0,F186/('WAP for X-AXIS Walls'!L121*'WAP for X-AXIS Walls'!$I$144))</f>
        <v>227.7771256</v>
      </c>
      <c r="H186" s="324">
        <f t="shared" si="109"/>
        <v>0.39572717</v>
      </c>
      <c r="I186" s="386" t="str">
        <f t="shared" si="110"/>
        <v>OK</v>
      </c>
      <c r="J186" s="328">
        <f t="shared" si="111"/>
        <v>-0.02822453797</v>
      </c>
      <c r="K186" s="328">
        <f t="shared" si="112"/>
        <v>3.991243438</v>
      </c>
      <c r="L186" s="384">
        <f t="shared" si="113"/>
        <v>0.001376290841</v>
      </c>
      <c r="M186" s="385">
        <f t="shared" si="114"/>
        <v>29.10448747</v>
      </c>
      <c r="N186" s="385">
        <f>IF('WAP for X-AXIS Walls'!L121=0,0,M186/('WAP for X-AXIS Walls'!L121*'WAP for X-AXIS Walls'!$I$144))</f>
        <v>224.6005482</v>
      </c>
      <c r="O186" s="324">
        <f t="shared" si="115"/>
        <v>0.3902083632</v>
      </c>
      <c r="P186" s="387" t="str">
        <f t="shared" si="116"/>
        <v>OK</v>
      </c>
      <c r="Q186" s="391"/>
      <c r="R186" s="385"/>
      <c r="S186" s="143">
        <f t="shared" si="117"/>
        <v>0.1344950895</v>
      </c>
      <c r="T186" s="385">
        <f t="shared" si="118"/>
        <v>29.31030321</v>
      </c>
      <c r="U186" s="385">
        <f>IF('WAP for X-AXIS Walls'!L121=0,0,T186/('WAP for X-AXIS Walls'!L121*'WAP for X-AXIS Walls'!$I$144))</f>
        <v>226.1888369</v>
      </c>
      <c r="V186" s="324">
        <f t="shared" si="119"/>
        <v>0.3929677666</v>
      </c>
      <c r="W186" s="386" t="str">
        <f t="shared" si="120"/>
        <v>OK</v>
      </c>
    </row>
    <row r="187">
      <c r="B187" s="392"/>
      <c r="C187" s="383"/>
      <c r="D187" s="328"/>
      <c r="E187" s="82"/>
      <c r="F187" s="393"/>
      <c r="G187" s="82"/>
      <c r="H187" s="82"/>
      <c r="I187" s="145"/>
      <c r="J187" s="328"/>
      <c r="K187" s="82"/>
      <c r="L187" s="82"/>
      <c r="M187" s="393"/>
      <c r="N187" s="82"/>
      <c r="O187" s="82"/>
      <c r="P187" s="82"/>
      <c r="Q187" s="391">
        <f>'WAP for X-AXIS Walls'!O116/'WAP for X-AXIS Walls'!O124</f>
        <v>0.5</v>
      </c>
      <c r="R187" s="385">
        <f>SUM(R134:R138)</f>
        <v>54218.22681</v>
      </c>
      <c r="S187" s="143"/>
      <c r="T187" s="393"/>
      <c r="U187" s="82"/>
      <c r="V187" s="82"/>
      <c r="W187" s="145"/>
    </row>
    <row r="188">
      <c r="B188" s="392"/>
      <c r="C188" s="345"/>
      <c r="D188" s="127"/>
      <c r="E188" s="127"/>
      <c r="F188" s="394"/>
      <c r="G188" s="127"/>
      <c r="H188" s="127"/>
      <c r="I188" s="128"/>
      <c r="J188" s="347"/>
      <c r="K188" s="347"/>
      <c r="L188" s="127"/>
      <c r="M188" s="394"/>
      <c r="N188" s="347"/>
      <c r="O188" s="127"/>
      <c r="P188" s="127"/>
      <c r="Q188" s="395"/>
      <c r="R188" s="127"/>
      <c r="S188" s="170"/>
      <c r="T188" s="394"/>
      <c r="U188" s="127"/>
      <c r="V188" s="127"/>
      <c r="W188" s="128"/>
    </row>
    <row r="189">
      <c r="B189" s="396"/>
      <c r="C189" s="397"/>
      <c r="D189" s="347">
        <f>(min(D176:D188)+max(D176:D188))/2</f>
        <v>4.019467976</v>
      </c>
      <c r="E189" s="315" t="s">
        <v>449</v>
      </c>
      <c r="F189" s="394">
        <f>sum(F176:F188)</f>
        <v>435.8568527</v>
      </c>
      <c r="G189" s="394">
        <f>F189/'WAP for X-AXIS Walls'!L124/'WAP for X-AXIS Walls'!I144</f>
        <v>341.6080667</v>
      </c>
      <c r="H189" s="347">
        <f>G189/G190</f>
        <v>0.8902359695</v>
      </c>
      <c r="I189" s="128" t="str">
        <f>if(H189&lt;=1,"OK","NG")</f>
        <v>OK</v>
      </c>
      <c r="J189" s="398"/>
      <c r="K189" s="347">
        <f>(min(K176:K188)+max(K176:K188))/2</f>
        <v>4.019467976</v>
      </c>
      <c r="L189" s="399" t="s">
        <v>449</v>
      </c>
      <c r="M189" s="394">
        <f>sum(M176:M188)</f>
        <v>435.8568527</v>
      </c>
      <c r="N189" s="394">
        <f>M189/'WAP for X-AXIS Walls'!L124/'WAP for X-AXIS Walls'!I144</f>
        <v>341.6080667</v>
      </c>
      <c r="O189" s="347">
        <f>N189/N190</f>
        <v>0.8902359695</v>
      </c>
      <c r="P189" s="127" t="str">
        <f>if(O189&lt;=1,"OK","NG")</f>
        <v>OK</v>
      </c>
      <c r="Q189" s="400">
        <f t="shared" ref="Q189:R189" si="121">sum(Q176:Q188)</f>
        <v>1</v>
      </c>
      <c r="R189" s="401">
        <f t="shared" si="121"/>
        <v>108436.4536</v>
      </c>
      <c r="S189" s="402"/>
      <c r="T189" s="394">
        <f>sum(T176:T188)</f>
        <v>435.8568527</v>
      </c>
      <c r="U189" s="394">
        <f>T189/'WAP for X-AXIS Walls'!L124/'WAP for X-AXIS Walls'!I144*'WAP for X-AXIS Walls'!I150</f>
        <v>512.4121</v>
      </c>
      <c r="V189" s="347">
        <f>U189/U190</f>
        <v>0.8902359695</v>
      </c>
      <c r="W189" s="128" t="str">
        <f t="shared" ref="W189:W192" si="122">if(V189&lt;=1,"OK","NG")</f>
        <v>OK</v>
      </c>
    </row>
    <row r="190">
      <c r="B190" s="327"/>
      <c r="D190" s="447">
        <f>max(D176:D188)</f>
        <v>4.047692514</v>
      </c>
      <c r="E190" s="76" t="s">
        <v>450</v>
      </c>
      <c r="F190" s="393">
        <f>G208*F174</f>
        <v>435.8568527</v>
      </c>
      <c r="G190" s="393">
        <f>'WAP for X-AXIS Walls'!I142*'WAP for X-AXIS Walls'!I149/'WAP for X-AXIS Walls'!I150*'WAP for X-AXIS Walls'!I143</f>
        <v>383.7275491</v>
      </c>
      <c r="H190" s="408">
        <f>'WAP for X-AXIS Walls'!I163</f>
        <v>0.8902359695</v>
      </c>
      <c r="I190" s="68"/>
      <c r="J190" s="68"/>
      <c r="K190" s="447">
        <f>max(K176:K188)</f>
        <v>4.047692514</v>
      </c>
      <c r="L190" s="406" t="s">
        <v>450</v>
      </c>
      <c r="M190" s="393">
        <f>R208*M174</f>
        <v>435.8568527</v>
      </c>
      <c r="N190" s="393">
        <f>'WAP for X-AXIS Walls'!I142*'WAP for X-AXIS Walls'!I149/'WAP for X-AXIS Walls'!I150*'WAP for X-AXIS Walls'!I143</f>
        <v>383.7275491</v>
      </c>
      <c r="O190" s="408">
        <f>'WAP for X-AXIS Walls'!I163</f>
        <v>0.8902359695</v>
      </c>
      <c r="P190" s="71" t="s">
        <v>451</v>
      </c>
      <c r="Q190" s="387"/>
      <c r="R190" s="68"/>
      <c r="S190" s="77" t="s">
        <v>452</v>
      </c>
      <c r="T190" s="393">
        <f>T189/'WAP for X-AXIS Walls'!L124/'WAP for X-AXIS Walls'!I144</f>
        <v>341.6080667</v>
      </c>
      <c r="U190" s="407">
        <f>'WAP for X-AXIS Walls'!I142*'WAP for X-AXIS Walls'!I149*'WAP for X-AXIS Walls'!I143</f>
        <v>575.5913236</v>
      </c>
      <c r="V190" s="408">
        <f>T190/U190</f>
        <v>0.5934906463</v>
      </c>
      <c r="W190" s="407" t="str">
        <f t="shared" si="122"/>
        <v>OK</v>
      </c>
    </row>
    <row r="191">
      <c r="B191" s="68"/>
      <c r="D191" s="328">
        <f>D190/D189</f>
        <v>1.007021959</v>
      </c>
      <c r="E191" s="80" t="s">
        <v>453</v>
      </c>
      <c r="F191" s="68"/>
      <c r="G191" s="410"/>
      <c r="H191" s="328">
        <f>MAX(H176:H188)</f>
        <v>0.73582139</v>
      </c>
      <c r="I191" s="68"/>
      <c r="J191" s="68"/>
      <c r="K191" s="328">
        <f>K190/K189</f>
        <v>1.007021959</v>
      </c>
      <c r="L191" s="80" t="s">
        <v>453</v>
      </c>
      <c r="M191" s="68"/>
      <c r="N191" s="410"/>
      <c r="O191" s="328">
        <f>MAX(O176:O188)</f>
        <v>0.73582139</v>
      </c>
      <c r="P191" s="68"/>
      <c r="Q191" s="328"/>
      <c r="R191" s="68"/>
      <c r="S191" s="68"/>
      <c r="T191" s="68"/>
      <c r="U191" s="68"/>
      <c r="V191" s="408">
        <f>'WAP for X-AXIS Walls'!I163</f>
        <v>0.8902359695</v>
      </c>
      <c r="W191" s="407" t="str">
        <f t="shared" si="122"/>
        <v>OK</v>
      </c>
    </row>
    <row r="192">
      <c r="B192" s="82"/>
      <c r="D192" s="97">
        <f>min(max(1,(D190/1.2/D189)^2),3)</f>
        <v>1</v>
      </c>
      <c r="E192" s="71" t="s">
        <v>454</v>
      </c>
      <c r="F192" s="68"/>
      <c r="G192" s="68"/>
      <c r="H192" s="68"/>
      <c r="I192" s="68"/>
      <c r="J192" s="68"/>
      <c r="K192" s="97">
        <f>min(max(1,(K190/1.2/K189)^2),3)</f>
        <v>1</v>
      </c>
      <c r="L192" s="71" t="s">
        <v>454</v>
      </c>
      <c r="M192" s="68"/>
      <c r="N192" s="114"/>
      <c r="O192" s="68"/>
      <c r="P192" s="68"/>
      <c r="Q192" s="68"/>
      <c r="R192" s="68"/>
      <c r="S192" s="68"/>
      <c r="T192" s="68"/>
      <c r="U192" s="68"/>
      <c r="V192" s="97">
        <f>max(V176:V188)</f>
        <v>0.7306905114</v>
      </c>
      <c r="W192" s="407" t="str">
        <f t="shared" si="122"/>
        <v>OK</v>
      </c>
    </row>
    <row r="193">
      <c r="B193" s="82"/>
      <c r="D193" s="82"/>
      <c r="E193" s="71" t="s">
        <v>455</v>
      </c>
      <c r="F193" s="68"/>
      <c r="G193" s="68"/>
      <c r="H193" s="68"/>
      <c r="I193" s="68"/>
      <c r="J193" s="68"/>
      <c r="K193" s="328"/>
      <c r="L193" s="71" t="s">
        <v>455</v>
      </c>
      <c r="M193" s="68"/>
      <c r="N193" s="114"/>
      <c r="O193" s="68"/>
      <c r="P193" s="68"/>
      <c r="Q193" s="68"/>
      <c r="R193" s="68"/>
      <c r="S193" s="68"/>
      <c r="T193" s="68"/>
      <c r="U193" s="68"/>
      <c r="V193" s="68"/>
      <c r="W193" s="68"/>
    </row>
    <row r="194">
      <c r="B194" s="82"/>
      <c r="C194" s="411"/>
      <c r="D194" s="406"/>
      <c r="E194" s="412" t="str">
        <f>if(D191&lt;1,"ERROR &lt;1",if(D191&lt;=1.2,"Pas d'irrégularité torsionnelle, Max/Moy &lt;1.2",if(D191&lt;=1.4,"Torsional Irregularity 1a, Max/Avg=1.2-1.4","Extreme Torsional Irregularity 1b, Max/Avg&gt;1.4")))</f>
        <v>Pas d'irrégularité torsionnelle, Max/Moy &lt;1.2</v>
      </c>
      <c r="F194" s="114" t="s">
        <v>456</v>
      </c>
      <c r="G194" s="114"/>
      <c r="H194" s="68"/>
      <c r="I194" s="68"/>
      <c r="J194" s="411"/>
      <c r="K194" s="68"/>
      <c r="L194" s="68"/>
      <c r="M194" s="68"/>
      <c r="N194" s="412" t="str">
        <f>if(K191&lt;1,"ERROR &lt;1",if(K191&lt;=1.2,"Pas d'irrégularité torsionnelle, Max/Moy &lt;1.2",if(K191&lt;=1.4,"Torsional Irregularity 1a, Max/Avg=1.2-1.4","Extreme Torsional Irregularity 1b, Max/Avg&gt;1.4")))</f>
        <v>Pas d'irrégularité torsionnelle, Max/Moy &lt;1.2</v>
      </c>
      <c r="O194" s="114" t="s">
        <v>456</v>
      </c>
      <c r="P194" s="68"/>
      <c r="Q194" s="68"/>
      <c r="R194" s="68"/>
      <c r="S194" s="68"/>
      <c r="T194" s="68"/>
      <c r="U194" s="68"/>
      <c r="V194" s="68"/>
      <c r="W194" s="68"/>
    </row>
    <row r="195">
      <c r="B195" s="82"/>
      <c r="C195" s="68"/>
      <c r="D195" s="68"/>
      <c r="E195" s="414"/>
      <c r="F195" s="406"/>
      <c r="G195" s="68"/>
      <c r="H195" s="68"/>
      <c r="I195" s="68"/>
      <c r="J195" s="68"/>
      <c r="K195" s="68"/>
      <c r="L195" s="68"/>
      <c r="M195" s="410"/>
      <c r="N195" s="415"/>
      <c r="O195" s="68"/>
      <c r="P195" s="68"/>
      <c r="Q195" s="410"/>
      <c r="R195" s="410"/>
      <c r="S195" s="410"/>
      <c r="T195" s="68"/>
      <c r="U195" s="68"/>
      <c r="V195" s="68"/>
      <c r="W195" s="68"/>
    </row>
    <row r="196">
      <c r="F196" s="416" t="s">
        <v>457</v>
      </c>
      <c r="G196" s="417">
        <f>if(and('WAP for X-AXIS Walls'!D98="Légère",'WAP for X-AXIS Walls'!E96="Niveau supérieur"),0.05,0.05)</f>
        <v>0.05</v>
      </c>
      <c r="H196" s="71" t="s">
        <v>458</v>
      </c>
      <c r="I196" s="68"/>
      <c r="J196" s="68"/>
      <c r="L196" s="68"/>
      <c r="P196" s="68"/>
      <c r="Q196" s="416" t="s">
        <v>457</v>
      </c>
      <c r="R196" s="417">
        <f>if(and('WAP for X-AXIS Walls'!D98="Légère",'WAP for X-AXIS Walls'!E96="Niveau supérieur"),0.05,0.05)</f>
        <v>0.05</v>
      </c>
      <c r="S196" s="71" t="s">
        <v>458</v>
      </c>
      <c r="T196" s="68"/>
      <c r="U196" s="68"/>
      <c r="V196" s="68"/>
      <c r="W196" s="68"/>
    </row>
    <row r="197">
      <c r="F197" s="416" t="s">
        <v>460</v>
      </c>
      <c r="G197" s="75">
        <v>1.0</v>
      </c>
      <c r="H197" s="71" t="s">
        <v>461</v>
      </c>
      <c r="I197" s="68"/>
      <c r="J197" s="68"/>
      <c r="L197" s="68"/>
      <c r="P197" s="68"/>
      <c r="Q197" s="416" t="s">
        <v>460</v>
      </c>
      <c r="R197" s="75">
        <v>1.0</v>
      </c>
      <c r="S197" s="71" t="s">
        <v>461</v>
      </c>
      <c r="T197" s="68"/>
      <c r="U197" s="68"/>
      <c r="V197" s="68"/>
      <c r="W197" s="68"/>
    </row>
    <row r="198">
      <c r="F198" s="416" t="s">
        <v>457</v>
      </c>
      <c r="G198" s="418">
        <f>G196*G197</f>
        <v>0.05</v>
      </c>
      <c r="H198" s="80" t="s">
        <v>463</v>
      </c>
      <c r="I198" s="43"/>
      <c r="J198" s="68"/>
      <c r="L198" s="68"/>
      <c r="P198" s="68"/>
      <c r="Q198" s="416" t="s">
        <v>457</v>
      </c>
      <c r="R198" s="418">
        <f>R196*R197</f>
        <v>0.05</v>
      </c>
      <c r="S198" s="80" t="s">
        <v>463</v>
      </c>
      <c r="T198" s="43"/>
      <c r="U198" s="68"/>
      <c r="V198" s="68"/>
      <c r="W198" s="68"/>
    </row>
    <row r="199">
      <c r="F199" s="419" t="s">
        <v>465</v>
      </c>
      <c r="G199" s="82">
        <f>if('WAP for X-AXIS Walls'!D98="Légère",lookup('WAP for X-AXIS Walls'!D94,Reference!$B$37:$B$42,Reference!$K$37:$K$42),1)</f>
        <v>1</v>
      </c>
      <c r="H199" s="71" t="s">
        <v>466</v>
      </c>
      <c r="I199" s="68"/>
      <c r="J199" s="68"/>
      <c r="L199" s="68"/>
      <c r="P199" s="68"/>
      <c r="Q199" s="419" t="s">
        <v>465</v>
      </c>
      <c r="R199" s="82">
        <f>if('WAP for X-AXIS Walls'!D98="Légère",lookup('WAP for X-AXIS Walls'!D94,Reference!$B$37:$B$42,Reference!$K$37:$K$42),1)</f>
        <v>1</v>
      </c>
      <c r="S199" s="71" t="s">
        <v>466</v>
      </c>
      <c r="T199" s="68"/>
      <c r="U199" s="68"/>
      <c r="V199" s="68"/>
      <c r="W199" s="68"/>
    </row>
    <row r="200">
      <c r="F200" s="68"/>
      <c r="G200" s="68"/>
      <c r="H200" s="68"/>
      <c r="I200" s="68"/>
      <c r="J200" s="68"/>
      <c r="K200" s="68"/>
      <c r="L200" s="68"/>
      <c r="P200" s="68"/>
      <c r="Q200" s="68"/>
      <c r="R200" s="68"/>
      <c r="S200" s="68"/>
      <c r="T200" s="68"/>
      <c r="U200" s="68"/>
      <c r="V200" s="68"/>
      <c r="W200" s="68"/>
    </row>
    <row r="201">
      <c r="F201" s="421" t="s">
        <v>467</v>
      </c>
      <c r="G201" s="364"/>
      <c r="H201" s="364"/>
      <c r="I201" s="364"/>
      <c r="J201" s="68"/>
      <c r="K201" s="68"/>
      <c r="M201" s="68"/>
      <c r="N201" s="421" t="s">
        <v>468</v>
      </c>
      <c r="P201" s="422"/>
      <c r="Q201" s="422"/>
      <c r="R201" s="364"/>
      <c r="S201" s="48"/>
      <c r="T201" s="82"/>
      <c r="U201" s="68"/>
      <c r="V201" s="68"/>
      <c r="W201" s="68"/>
    </row>
    <row r="202">
      <c r="F202" s="68"/>
      <c r="G202" s="48"/>
      <c r="H202" s="82"/>
      <c r="I202" s="68"/>
      <c r="J202" s="68"/>
      <c r="K202" s="68"/>
      <c r="L202" s="68"/>
      <c r="P202" s="68"/>
      <c r="Q202" s="68"/>
      <c r="R202" s="68"/>
      <c r="S202" s="68"/>
      <c r="T202" s="48"/>
      <c r="U202" s="68"/>
      <c r="V202" s="68"/>
      <c r="W202" s="68"/>
    </row>
    <row r="203">
      <c r="E203" s="423"/>
      <c r="F203" s="423" t="s">
        <v>469</v>
      </c>
      <c r="G203" s="384">
        <f>G198</f>
        <v>0.05</v>
      </c>
      <c r="H203" s="43" t="s">
        <v>470</v>
      </c>
      <c r="I203" s="68"/>
      <c r="J203" s="68"/>
      <c r="K203" s="68"/>
      <c r="L203" s="68"/>
      <c r="P203" s="423"/>
      <c r="Q203" s="423" t="s">
        <v>469</v>
      </c>
      <c r="R203" s="384">
        <f>R198</f>
        <v>0.05</v>
      </c>
      <c r="S203" s="43" t="s">
        <v>470</v>
      </c>
      <c r="T203" s="68"/>
      <c r="U203" s="68"/>
      <c r="V203" s="68"/>
      <c r="W203" s="68"/>
    </row>
    <row r="204">
      <c r="E204" s="416"/>
      <c r="F204" s="416" t="s">
        <v>472</v>
      </c>
      <c r="G204" s="387">
        <f>G203*$D$9</f>
        <v>0.185</v>
      </c>
      <c r="H204" s="43" t="s">
        <v>84</v>
      </c>
      <c r="I204" s="71" t="s">
        <v>473</v>
      </c>
      <c r="J204" s="68"/>
      <c r="K204" s="68"/>
      <c r="P204" s="416"/>
      <c r="Q204" s="416" t="s">
        <v>472</v>
      </c>
      <c r="R204" s="387">
        <f>-R203*$D$9</f>
        <v>-0.185</v>
      </c>
      <c r="S204" s="43" t="s">
        <v>84</v>
      </c>
      <c r="T204" s="68"/>
      <c r="U204" s="68"/>
      <c r="V204" s="68"/>
      <c r="W204" s="68"/>
    </row>
    <row r="205">
      <c r="E205" s="419"/>
      <c r="F205" s="419" t="s">
        <v>475</v>
      </c>
      <c r="G205" s="97">
        <f>F152+G204</f>
        <v>1.935</v>
      </c>
      <c r="H205" s="71" t="s">
        <v>84</v>
      </c>
      <c r="I205" s="68"/>
      <c r="J205" s="71"/>
      <c r="K205" s="68"/>
      <c r="P205" s="419"/>
      <c r="Q205" s="419" t="s">
        <v>475</v>
      </c>
      <c r="R205" s="97">
        <f>F152+R204</f>
        <v>1.565</v>
      </c>
      <c r="S205" s="71" t="s">
        <v>84</v>
      </c>
      <c r="T205" s="68"/>
      <c r="U205" s="68"/>
      <c r="V205" s="68"/>
      <c r="W205" s="68"/>
    </row>
    <row r="206">
      <c r="E206" s="423" t="s">
        <v>478</v>
      </c>
      <c r="G206" s="135">
        <f>G205-F150</f>
        <v>0.185</v>
      </c>
      <c r="H206" s="71" t="s">
        <v>84</v>
      </c>
      <c r="I206" s="71"/>
      <c r="J206" s="68"/>
      <c r="K206" s="68"/>
      <c r="P206" s="423" t="s">
        <v>478</v>
      </c>
      <c r="R206" s="135">
        <f>R205-F150</f>
        <v>-0.185</v>
      </c>
      <c r="S206" s="427" t="s">
        <v>84</v>
      </c>
      <c r="T206" s="68"/>
      <c r="U206" s="68"/>
      <c r="V206" s="68"/>
      <c r="W206" s="68"/>
    </row>
    <row r="207">
      <c r="E207" s="428"/>
      <c r="F207" s="416"/>
      <c r="G207" s="429">
        <f>G206/D118</f>
        <v>0.05</v>
      </c>
      <c r="H207" s="430" t="s">
        <v>479</v>
      </c>
      <c r="I207" s="71"/>
      <c r="J207" s="68"/>
      <c r="K207" s="68"/>
      <c r="P207" s="428"/>
      <c r="Q207" s="416"/>
      <c r="R207" s="429">
        <f>R206/D118</f>
        <v>-0.05</v>
      </c>
      <c r="S207" s="430" t="s">
        <v>479</v>
      </c>
      <c r="T207" s="68"/>
      <c r="U207" s="68"/>
      <c r="V207" s="68"/>
      <c r="W207" s="68"/>
    </row>
    <row r="208">
      <c r="B208" s="31"/>
      <c r="E208" s="419"/>
      <c r="F208" s="419" t="s">
        <v>480</v>
      </c>
      <c r="G208" s="385">
        <f>'WAP for X-AXIS Walls'!I154</f>
        <v>435.8568527</v>
      </c>
      <c r="H208" s="71" t="s">
        <v>199</v>
      </c>
      <c r="I208" s="26"/>
      <c r="L208" s="68"/>
      <c r="P208" s="419"/>
      <c r="Q208" s="419" t="s">
        <v>480</v>
      </c>
      <c r="R208" s="385">
        <f>'WAP for X-AXIS Walls'!I154</f>
        <v>435.8568527</v>
      </c>
      <c r="S208" s="71" t="s">
        <v>199</v>
      </c>
      <c r="T208" s="68"/>
      <c r="U208" s="68"/>
      <c r="V208" s="68"/>
      <c r="W208" s="68"/>
    </row>
    <row r="209">
      <c r="B209" s="31"/>
      <c r="E209" s="419"/>
      <c r="F209" s="419" t="s">
        <v>481</v>
      </c>
      <c r="G209" s="385">
        <f>G199*'WAP for X-AXIS Walls'!I154*G206</f>
        <v>80.63351776</v>
      </c>
      <c r="H209" s="71" t="s">
        <v>482</v>
      </c>
      <c r="I209" s="26" t="s">
        <v>483</v>
      </c>
      <c r="L209" s="374" t="str">
        <f>if(H209&lt;0,"Dans le sens inverse des aiguilles d'une montre","Dans le sens des aiguilles d'une montre")</f>
        <v>Dans le sens des aiguilles d'une montre</v>
      </c>
      <c r="P209" s="419"/>
      <c r="Q209" s="419" t="s">
        <v>481</v>
      </c>
      <c r="R209" s="385">
        <f>R199*'WAP for X-AXIS Walls'!I154*R206</f>
        <v>-80.63351776</v>
      </c>
      <c r="S209" s="427" t="s">
        <v>482</v>
      </c>
      <c r="T209" s="374" t="str">
        <f>if(R209&lt;0,"Dans le sens inverse des aiguilles d'une montre","Dans le sens des aiguilles d'une montre")</f>
        <v>Dans le sens inverse des aiguilles d'une montre</v>
      </c>
      <c r="U209" s="68"/>
      <c r="V209" s="68"/>
      <c r="W209" s="68"/>
    </row>
    <row r="210">
      <c r="E210" s="423"/>
      <c r="F210" s="423" t="s">
        <v>484</v>
      </c>
      <c r="G210" s="432">
        <f>G209/U143</f>
        <v>0.00001612830741</v>
      </c>
      <c r="H210" s="71" t="s">
        <v>485</v>
      </c>
      <c r="I210" s="26" t="s">
        <v>564</v>
      </c>
      <c r="K210" s="71"/>
      <c r="L210" s="71" t="s">
        <v>487</v>
      </c>
      <c r="P210" s="423"/>
      <c r="Q210" s="423" t="s">
        <v>484</v>
      </c>
      <c r="R210" s="432">
        <f>R209/U143</f>
        <v>-0.00001612830741</v>
      </c>
      <c r="S210" s="80" t="s">
        <v>485</v>
      </c>
      <c r="T210" s="71"/>
      <c r="U210" s="68"/>
      <c r="V210" s="68"/>
      <c r="W210" s="68"/>
    </row>
    <row r="211">
      <c r="F211" s="68"/>
      <c r="G211" s="433">
        <f>G210/2*pi()*360</f>
        <v>0.009120342973</v>
      </c>
      <c r="H211" s="71" t="s">
        <v>488</v>
      </c>
      <c r="I211" s="114" t="s">
        <v>489</v>
      </c>
      <c r="K211" s="114"/>
      <c r="L211" s="68"/>
      <c r="Q211" s="68"/>
      <c r="R211" s="433">
        <f>R210/2*pi()*360</f>
        <v>-0.009120342973</v>
      </c>
      <c r="S211" s="71" t="s">
        <v>488</v>
      </c>
      <c r="T211" s="114" t="s">
        <v>489</v>
      </c>
      <c r="U211" s="68"/>
      <c r="V211" s="68"/>
      <c r="W211" s="68"/>
    </row>
    <row r="212">
      <c r="B212" s="68"/>
      <c r="E212" s="68"/>
      <c r="F212" s="68"/>
      <c r="G212" s="68"/>
      <c r="H212" s="68"/>
      <c r="I212" s="474" t="s">
        <v>549</v>
      </c>
      <c r="K212" s="114"/>
      <c r="L212" s="68"/>
      <c r="M212" s="68"/>
      <c r="N212" s="68"/>
      <c r="O212" s="68"/>
      <c r="P212" s="68"/>
      <c r="Q212" s="68"/>
      <c r="R212" s="68"/>
      <c r="S212" s="68"/>
      <c r="T212" s="474" t="s">
        <v>549</v>
      </c>
      <c r="U212" s="68"/>
      <c r="V212" s="68"/>
      <c r="W212" s="68"/>
    </row>
    <row r="213" ht="32.25" customHeight="1">
      <c r="B213" s="68"/>
      <c r="C213" s="68"/>
      <c r="D213" s="68"/>
      <c r="E213" s="68"/>
      <c r="F213" s="68"/>
      <c r="G213" s="68"/>
      <c r="H213" s="68"/>
      <c r="I213" s="68"/>
      <c r="J213" s="68"/>
      <c r="K213" s="68"/>
      <c r="L213" s="68"/>
      <c r="M213" s="68"/>
      <c r="N213" s="68"/>
      <c r="O213" s="68"/>
      <c r="P213" s="291"/>
      <c r="Q213" s="291"/>
      <c r="R213" s="291"/>
      <c r="S213" s="291"/>
      <c r="T213" s="68"/>
      <c r="U213" s="68"/>
      <c r="V213" s="68"/>
      <c r="W213" s="68"/>
    </row>
    <row r="214" ht="21.75" customHeight="1"/>
    <row r="216" ht="30.0" customHeight="1"/>
    <row r="217">
      <c r="A217" s="47"/>
      <c r="B217" s="224"/>
      <c r="C217" s="246"/>
      <c r="D217" s="224"/>
      <c r="E217" s="224"/>
      <c r="F217" s="224"/>
      <c r="G217" s="224"/>
      <c r="H217" s="224"/>
      <c r="I217" s="224"/>
      <c r="J217" s="224"/>
      <c r="K217" s="224"/>
      <c r="L217" s="224"/>
      <c r="M217" s="224"/>
      <c r="N217" s="288"/>
      <c r="O217" s="224"/>
      <c r="P217" s="224"/>
      <c r="Q217" s="47"/>
    </row>
    <row r="218">
      <c r="A218" s="47"/>
      <c r="B218" s="49" t="s">
        <v>75</v>
      </c>
      <c r="C218" s="50"/>
      <c r="D218" s="51"/>
      <c r="E218" s="51"/>
      <c r="F218" s="51"/>
      <c r="G218" s="51"/>
      <c r="H218" s="51"/>
      <c r="I218" s="51"/>
      <c r="J218" s="51"/>
      <c r="K218" s="51"/>
      <c r="L218" s="51"/>
      <c r="M218" s="51"/>
      <c r="N218" s="52" t="s">
        <v>76</v>
      </c>
      <c r="O218" s="52"/>
      <c r="P218" s="51"/>
      <c r="Q218" s="51"/>
      <c r="R218" s="68"/>
      <c r="S218" s="68"/>
      <c r="T218" s="68"/>
      <c r="U218" s="68"/>
      <c r="V218" s="68"/>
      <c r="W218" s="68"/>
    </row>
    <row r="219">
      <c r="A219" s="47"/>
      <c r="B219" s="49" t="s">
        <v>77</v>
      </c>
      <c r="C219" s="55" t="s">
        <v>78</v>
      </c>
      <c r="D219" s="56"/>
      <c r="E219" s="51"/>
      <c r="F219" s="51"/>
      <c r="G219" s="51"/>
      <c r="H219" s="51"/>
      <c r="I219" s="51"/>
      <c r="J219" s="51"/>
      <c r="K219" s="51"/>
      <c r="L219" s="51"/>
      <c r="M219" s="51"/>
      <c r="N219" s="57" t="s">
        <v>79</v>
      </c>
      <c r="O219" s="57"/>
      <c r="P219" s="51"/>
      <c r="Q219" s="51"/>
      <c r="R219" s="68"/>
      <c r="S219" s="68"/>
      <c r="T219" s="68"/>
      <c r="U219" s="68"/>
      <c r="V219" s="68"/>
      <c r="W219" s="68"/>
    </row>
    <row r="220">
      <c r="A220" s="47"/>
      <c r="B220" s="51"/>
      <c r="C220" s="52"/>
      <c r="D220" s="56"/>
      <c r="E220" s="51"/>
      <c r="F220" s="51"/>
      <c r="G220" s="51"/>
      <c r="H220" s="51"/>
      <c r="I220" s="51"/>
      <c r="J220" s="51"/>
      <c r="K220" s="51"/>
      <c r="L220" s="51"/>
      <c r="M220" s="51"/>
      <c r="N220" s="57" t="s">
        <v>80</v>
      </c>
      <c r="O220" s="57"/>
      <c r="P220" s="51"/>
      <c r="Q220" s="51"/>
      <c r="R220" s="68"/>
      <c r="S220" s="68"/>
      <c r="T220" s="68"/>
      <c r="U220" s="68"/>
      <c r="V220" s="68"/>
      <c r="W220" s="68"/>
    </row>
    <row r="221">
      <c r="A221" s="33"/>
      <c r="B221" s="43"/>
      <c r="C221" s="45"/>
      <c r="D221" s="43"/>
      <c r="E221" s="43"/>
      <c r="F221" s="43"/>
      <c r="G221" s="43"/>
      <c r="H221" s="43"/>
      <c r="I221" s="43"/>
      <c r="J221" s="43"/>
      <c r="K221" s="43"/>
      <c r="L221" s="43"/>
      <c r="M221" s="43"/>
      <c r="N221" s="43"/>
      <c r="O221" s="43"/>
      <c r="P221" s="43"/>
      <c r="Q221" s="43"/>
      <c r="R221" s="68"/>
      <c r="S221" s="68"/>
      <c r="T221" s="68"/>
      <c r="U221" s="68"/>
      <c r="V221" s="68"/>
      <c r="W221" s="68"/>
    </row>
    <row r="222">
      <c r="A222" s="33"/>
      <c r="B222" s="43"/>
      <c r="C222" s="45"/>
      <c r="D222" s="43"/>
      <c r="E222" s="43"/>
      <c r="F222" s="43"/>
      <c r="G222" s="43"/>
      <c r="H222" s="434"/>
      <c r="I222" s="253"/>
      <c r="J222" s="43"/>
      <c r="K222" s="98" t="s">
        <v>234</v>
      </c>
      <c r="L222" s="43"/>
      <c r="M222" s="43"/>
      <c r="N222" s="43"/>
      <c r="O222" s="43"/>
      <c r="P222" s="43"/>
      <c r="Q222" s="43"/>
      <c r="R222" s="68"/>
      <c r="S222" s="68"/>
      <c r="T222" s="68"/>
      <c r="U222" s="68"/>
      <c r="V222" s="68"/>
      <c r="W222" s="68"/>
    </row>
    <row r="223">
      <c r="A223" s="33"/>
      <c r="B223" s="43"/>
      <c r="C223" s="45"/>
      <c r="D223" s="43"/>
      <c r="E223" s="43"/>
      <c r="F223" s="43"/>
      <c r="G223" s="43"/>
      <c r="H223" s="43"/>
      <c r="I223" s="43"/>
      <c r="J223" s="43"/>
      <c r="K223" s="43"/>
      <c r="L223" s="43"/>
      <c r="M223" s="43"/>
      <c r="N223" s="43"/>
      <c r="O223" s="43"/>
      <c r="P223" s="43"/>
      <c r="Q223" s="43"/>
      <c r="R223" s="68"/>
      <c r="S223" s="68"/>
      <c r="T223" s="68"/>
      <c r="U223" s="68"/>
      <c r="V223" s="68"/>
      <c r="W223" s="68"/>
    </row>
    <row r="224">
      <c r="B224" s="68"/>
      <c r="C224" s="68"/>
      <c r="D224" s="68"/>
      <c r="E224" s="68"/>
      <c r="F224" s="68"/>
      <c r="G224" s="68"/>
      <c r="H224" s="68"/>
      <c r="I224" s="68"/>
      <c r="J224" s="289"/>
      <c r="K224" s="184"/>
      <c r="L224" s="290"/>
      <c r="M224" s="184"/>
      <c r="N224" s="291"/>
      <c r="O224" s="291"/>
      <c r="P224" s="291"/>
      <c r="Q224" s="291"/>
      <c r="R224" s="68"/>
      <c r="S224" s="68"/>
      <c r="T224" s="68"/>
      <c r="U224" s="68"/>
      <c r="V224" s="68"/>
      <c r="W224" s="68"/>
    </row>
    <row r="225">
      <c r="A225" s="67"/>
      <c r="B225" s="43"/>
      <c r="C225" s="70" t="s">
        <v>86</v>
      </c>
      <c r="D225" s="276">
        <f>'WAP for Y-AXIS Walls'!P7</f>
        <v>54.02</v>
      </c>
      <c r="E225" s="71" t="s">
        <v>87</v>
      </c>
      <c r="F225" s="71" t="s">
        <v>258</v>
      </c>
      <c r="G225" s="68"/>
      <c r="H225" s="68"/>
      <c r="I225" s="68"/>
      <c r="J225" s="291"/>
      <c r="K225" s="293"/>
      <c r="L225" s="435"/>
      <c r="M225" s="293"/>
      <c r="N225" s="291"/>
      <c r="O225" s="291"/>
      <c r="P225" s="291"/>
      <c r="Q225" s="291"/>
      <c r="R225" s="68"/>
      <c r="S225" s="68"/>
      <c r="T225" s="68"/>
      <c r="U225" s="68"/>
      <c r="V225" s="68"/>
      <c r="W225" s="68"/>
    </row>
    <row r="226">
      <c r="A226" s="189"/>
      <c r="B226" s="43"/>
      <c r="C226" s="77" t="s">
        <v>259</v>
      </c>
      <c r="D226" s="276">
        <f>'WAP for Y-AXIS Walls'!P8</f>
        <v>14.6</v>
      </c>
      <c r="E226" s="71" t="s">
        <v>84</v>
      </c>
      <c r="F226" s="71" t="s">
        <v>260</v>
      </c>
      <c r="G226" s="68"/>
      <c r="H226" s="68"/>
      <c r="I226" s="68"/>
      <c r="J226" s="294"/>
      <c r="K226" s="292"/>
      <c r="L226" s="436"/>
      <c r="M226" s="293"/>
      <c r="N226" s="291"/>
      <c r="O226" s="291"/>
      <c r="P226" s="291"/>
      <c r="Q226" s="291"/>
      <c r="R226" s="68"/>
      <c r="S226" s="68"/>
      <c r="T226" s="68"/>
      <c r="U226" s="68"/>
      <c r="V226" s="68"/>
      <c r="W226" s="68"/>
    </row>
    <row r="227">
      <c r="A227" s="189"/>
      <c r="B227" s="43"/>
      <c r="C227" s="77" t="s">
        <v>261</v>
      </c>
      <c r="D227" s="276">
        <f>'WAP for Y-AXIS Walls'!P9</f>
        <v>3.7</v>
      </c>
      <c r="E227" s="71" t="s">
        <v>87</v>
      </c>
      <c r="F227" s="71" t="s">
        <v>262</v>
      </c>
      <c r="G227" s="68"/>
      <c r="H227" s="68"/>
      <c r="I227" s="68"/>
      <c r="J227" s="294"/>
      <c r="K227" s="292"/>
      <c r="L227" s="436"/>
      <c r="M227" s="293"/>
      <c r="N227" s="291"/>
      <c r="O227" s="291"/>
      <c r="P227" s="291"/>
      <c r="Q227" s="291"/>
      <c r="R227" s="68"/>
      <c r="S227" s="68"/>
      <c r="T227" s="68"/>
      <c r="U227" s="68"/>
      <c r="V227" s="68"/>
      <c r="W227" s="68"/>
    </row>
    <row r="228">
      <c r="B228" s="68"/>
      <c r="C228" s="68"/>
      <c r="D228" s="68"/>
      <c r="E228" s="68"/>
      <c r="F228" s="68"/>
      <c r="G228" s="68"/>
      <c r="H228" s="68"/>
      <c r="I228" s="68"/>
      <c r="J228" s="184"/>
      <c r="K228" s="187"/>
      <c r="L228" s="295"/>
      <c r="M228" s="185"/>
      <c r="N228" s="291"/>
      <c r="O228" s="291"/>
      <c r="P228" s="291"/>
      <c r="Q228" s="291"/>
      <c r="R228" s="68"/>
      <c r="S228" s="68"/>
      <c r="T228" s="68"/>
      <c r="U228" s="68"/>
      <c r="V228" s="68"/>
      <c r="W228" s="68"/>
    </row>
    <row r="229">
      <c r="B229" s="68"/>
      <c r="C229" s="68"/>
      <c r="D229" s="68"/>
      <c r="E229" s="68"/>
      <c r="F229" s="68"/>
      <c r="G229" s="68"/>
      <c r="H229" s="68"/>
      <c r="I229" s="68"/>
      <c r="J229" s="291"/>
      <c r="K229" s="187"/>
      <c r="L229" s="153"/>
      <c r="M229" s="185"/>
      <c r="N229" s="291"/>
      <c r="O229" s="291"/>
      <c r="P229" s="291"/>
      <c r="Q229" s="291"/>
      <c r="R229" s="68"/>
      <c r="S229" s="68"/>
      <c r="T229" s="68"/>
      <c r="U229" s="68"/>
      <c r="V229" s="68"/>
      <c r="W229" s="68"/>
    </row>
    <row r="230">
      <c r="B230" s="68"/>
      <c r="C230" s="68"/>
      <c r="D230" s="68"/>
      <c r="E230" s="68"/>
      <c r="F230" s="68"/>
      <c r="G230" s="68"/>
      <c r="H230" s="68"/>
      <c r="I230" s="68"/>
      <c r="J230" s="291"/>
      <c r="K230" s="297"/>
      <c r="L230" s="298"/>
      <c r="M230" s="293"/>
      <c r="N230" s="293"/>
      <c r="O230" s="291"/>
      <c r="P230" s="291"/>
      <c r="Q230" s="291"/>
      <c r="R230" s="68"/>
      <c r="S230" s="68"/>
      <c r="T230" s="68"/>
      <c r="U230" s="68"/>
      <c r="V230" s="68"/>
      <c r="W230" s="68"/>
    </row>
    <row r="231">
      <c r="B231" s="68"/>
      <c r="C231" s="68"/>
      <c r="D231" s="68"/>
      <c r="E231" s="68"/>
      <c r="F231" s="68"/>
      <c r="G231" s="68"/>
      <c r="H231" s="68"/>
      <c r="I231" s="68"/>
      <c r="J231" s="68"/>
      <c r="K231" s="68"/>
      <c r="L231" s="68"/>
      <c r="M231" s="68"/>
      <c r="N231" s="68"/>
      <c r="O231" s="68"/>
      <c r="P231" s="68"/>
      <c r="Q231" s="68"/>
      <c r="R231" s="68"/>
      <c r="S231" s="68"/>
      <c r="T231" s="68"/>
      <c r="U231" s="68"/>
      <c r="V231" s="68"/>
      <c r="W231" s="68"/>
    </row>
    <row r="232">
      <c r="B232" s="68"/>
      <c r="C232" s="68"/>
      <c r="D232" s="68"/>
      <c r="E232" s="68"/>
      <c r="F232" s="68"/>
      <c r="G232" s="68"/>
      <c r="H232" s="68"/>
      <c r="I232" s="68"/>
      <c r="J232" s="68"/>
      <c r="K232" s="68"/>
      <c r="L232" s="68"/>
      <c r="M232" s="68"/>
      <c r="N232" s="68"/>
      <c r="O232" s="68"/>
      <c r="P232" s="68"/>
      <c r="Q232" s="68"/>
      <c r="R232" s="68"/>
      <c r="S232" s="68"/>
      <c r="T232" s="68"/>
      <c r="U232" s="68"/>
      <c r="V232" s="68"/>
      <c r="W232" s="68"/>
    </row>
    <row r="233">
      <c r="B233" s="299" t="s">
        <v>266</v>
      </c>
      <c r="C233" s="300"/>
      <c r="D233" s="301" t="s">
        <v>267</v>
      </c>
      <c r="E233" s="100" t="s">
        <v>120</v>
      </c>
      <c r="F233" s="101" t="s">
        <v>121</v>
      </c>
      <c r="G233" s="302" t="s">
        <v>268</v>
      </c>
      <c r="H233" s="302" t="s">
        <v>269</v>
      </c>
      <c r="I233" s="101" t="s">
        <v>270</v>
      </c>
      <c r="J233" s="101" t="s">
        <v>271</v>
      </c>
      <c r="K233" s="101" t="s">
        <v>272</v>
      </c>
      <c r="L233" s="303" t="s">
        <v>273</v>
      </c>
      <c r="M233" s="304" t="s">
        <v>274</v>
      </c>
      <c r="N233" s="101" t="s">
        <v>275</v>
      </c>
      <c r="O233" s="303" t="s">
        <v>276</v>
      </c>
      <c r="P233" s="302" t="s">
        <v>277</v>
      </c>
      <c r="Q233" s="303" t="s">
        <v>278</v>
      </c>
      <c r="R233" s="101" t="s">
        <v>276</v>
      </c>
      <c r="S233" s="303"/>
      <c r="T233" s="303" t="s">
        <v>279</v>
      </c>
      <c r="U233" s="305" t="s">
        <v>280</v>
      </c>
      <c r="V233" s="68"/>
      <c r="W233" s="68"/>
      <c r="X233" s="68"/>
    </row>
    <row r="234">
      <c r="B234" s="113" t="s">
        <v>285</v>
      </c>
      <c r="C234" s="115" t="s">
        <v>286</v>
      </c>
      <c r="D234" s="115" t="s">
        <v>287</v>
      </c>
      <c r="E234" s="306" t="s">
        <v>288</v>
      </c>
      <c r="F234" s="115" t="s">
        <v>186</v>
      </c>
      <c r="G234" s="111" t="s">
        <v>289</v>
      </c>
      <c r="H234" s="111" t="s">
        <v>290</v>
      </c>
      <c r="I234" s="111" t="s">
        <v>291</v>
      </c>
      <c r="J234" s="111" t="s">
        <v>140</v>
      </c>
      <c r="K234" s="111" t="s">
        <v>292</v>
      </c>
      <c r="L234" s="115" t="s">
        <v>293</v>
      </c>
      <c r="M234" s="115" t="s">
        <v>294</v>
      </c>
      <c r="N234" s="111" t="s">
        <v>295</v>
      </c>
      <c r="O234" s="111" t="s">
        <v>296</v>
      </c>
      <c r="P234" s="111" t="s">
        <v>297</v>
      </c>
      <c r="Q234" s="111" t="s">
        <v>298</v>
      </c>
      <c r="R234" s="111" t="s">
        <v>299</v>
      </c>
      <c r="S234" s="115" t="s">
        <v>300</v>
      </c>
      <c r="T234" s="307" t="s">
        <v>301</v>
      </c>
      <c r="U234" s="112" t="s">
        <v>302</v>
      </c>
      <c r="V234" s="68"/>
      <c r="W234" s="68"/>
      <c r="X234" s="68"/>
    </row>
    <row r="235">
      <c r="B235" s="113" t="s">
        <v>307</v>
      </c>
      <c r="C235" s="115" t="s">
        <v>308</v>
      </c>
      <c r="D235" s="115" t="s">
        <v>309</v>
      </c>
      <c r="E235" s="306" t="s">
        <v>134</v>
      </c>
      <c r="G235" s="111" t="s">
        <v>310</v>
      </c>
      <c r="H235" s="115" t="s">
        <v>311</v>
      </c>
      <c r="I235" s="111" t="s">
        <v>135</v>
      </c>
      <c r="J235" s="111" t="s">
        <v>312</v>
      </c>
      <c r="K235" s="111" t="s">
        <v>313</v>
      </c>
      <c r="L235" s="115" t="s">
        <v>314</v>
      </c>
      <c r="M235" s="115" t="s">
        <v>84</v>
      </c>
      <c r="N235" s="110" t="s">
        <v>315</v>
      </c>
      <c r="O235" s="308" t="s">
        <v>565</v>
      </c>
      <c r="P235" s="111" t="s">
        <v>87</v>
      </c>
      <c r="Q235" s="308" t="s">
        <v>566</v>
      </c>
      <c r="R235" s="111" t="s">
        <v>318</v>
      </c>
      <c r="S235" s="110" t="s">
        <v>319</v>
      </c>
      <c r="T235" s="115" t="s">
        <v>134</v>
      </c>
      <c r="U235" s="309"/>
      <c r="V235" s="68"/>
      <c r="W235" s="68"/>
      <c r="X235" s="68"/>
    </row>
    <row r="236">
      <c r="B236" s="126"/>
      <c r="C236" s="121"/>
      <c r="D236" s="310"/>
      <c r="E236" s="126"/>
      <c r="F236" s="311"/>
      <c r="G236" s="125"/>
      <c r="H236" s="125" t="s">
        <v>322</v>
      </c>
      <c r="I236" s="125" t="s">
        <v>323</v>
      </c>
      <c r="J236" s="121" t="s">
        <v>134</v>
      </c>
      <c r="K236" s="121" t="s">
        <v>324</v>
      </c>
      <c r="L236" s="312" t="s">
        <v>567</v>
      </c>
      <c r="M236" s="313" t="s">
        <v>326</v>
      </c>
      <c r="N236" s="314" t="s">
        <v>327</v>
      </c>
      <c r="O236" s="315" t="s">
        <v>328</v>
      </c>
      <c r="P236" s="312" t="s">
        <v>329</v>
      </c>
      <c r="Q236" s="316" t="s">
        <v>330</v>
      </c>
      <c r="R236" s="314" t="s">
        <v>331</v>
      </c>
      <c r="S236" s="317"/>
      <c r="T236" s="317"/>
      <c r="U236" s="318" t="s">
        <v>332</v>
      </c>
      <c r="V236" s="68"/>
      <c r="W236" s="68"/>
      <c r="X236" s="68"/>
    </row>
    <row r="237">
      <c r="B237" s="450"/>
      <c r="C237" s="320"/>
      <c r="D237" s="335">
        <f t="shared" ref="D237:D241" si="123">D19</f>
        <v>0</v>
      </c>
      <c r="E237" s="155">
        <v>0.15</v>
      </c>
      <c r="F237" s="475">
        <f>'WAP for X-AXIS Walls'!F196</f>
        <v>6.9</v>
      </c>
      <c r="G237" s="466">
        <v>2.9</v>
      </c>
      <c r="H237" s="323">
        <f>0.5*(('WAP for X-AXIS Walls'!F196*145.038)*900)/145.038</f>
        <v>3105</v>
      </c>
      <c r="I237" s="323">
        <f t="shared" ref="I237:I241" si="124">H237*0.4</f>
        <v>1242</v>
      </c>
      <c r="J237" s="286">
        <f>'WAP for X-AXIS Walls'!D196</f>
        <v>1.3</v>
      </c>
      <c r="K237" s="324">
        <f t="shared" ref="K237:K241" si="125">if(J237=0,0,G237/J237)</f>
        <v>2.230769231</v>
      </c>
      <c r="L237" s="325">
        <f>J237*E237*'WAP for X-AXIS Walls'!G196</f>
        <v>0.08541</v>
      </c>
      <c r="M237" s="325">
        <f t="shared" ref="M237:M241" si="126">if(J237=0,0,L237/J237)</f>
        <v>0.0657</v>
      </c>
      <c r="N237" s="326">
        <f t="shared" ref="N237:N241" si="127">M237*J237^3/12</f>
        <v>0.012028575</v>
      </c>
      <c r="O237" s="327">
        <f t="shared" ref="O237:O241" si="128">H237*1000*N237*3/G237^3</f>
        <v>4594.127522</v>
      </c>
      <c r="P237" s="136">
        <f t="shared" ref="P237:P241" si="129">5/6*L237</f>
        <v>0.071175</v>
      </c>
      <c r="Q237" s="327">
        <f t="shared" ref="Q237:Q241" si="130">I237*1000*P237/G237</f>
        <v>30482.53448</v>
      </c>
      <c r="R237" s="327">
        <f t="shared" ref="R237:R241" si="131">IF(OR(Q237=0,O237=0),0,(1/(1/O237+1/Q237)))</f>
        <v>3992.416684</v>
      </c>
      <c r="S237" s="327">
        <f t="shared" ref="S237:S241" si="132">R237*D237</f>
        <v>0</v>
      </c>
      <c r="T237" s="328">
        <f t="shared" ref="T237:T241" si="133">D237-$F$150</f>
        <v>-1.75</v>
      </c>
      <c r="U237" s="329">
        <f t="shared" ref="U237:U241" si="134">R237*T237^2</f>
        <v>12226.77609</v>
      </c>
      <c r="V237" s="68"/>
      <c r="W237" s="68"/>
      <c r="X237" s="68"/>
    </row>
    <row r="238">
      <c r="B238" s="450"/>
      <c r="C238" s="320"/>
      <c r="D238" s="335">
        <f t="shared" si="123"/>
        <v>0</v>
      </c>
      <c r="E238" s="155">
        <v>0.15</v>
      </c>
      <c r="F238" s="475">
        <f>'WAP for X-AXIS Walls'!F197</f>
        <v>6.9</v>
      </c>
      <c r="G238" s="466">
        <v>2.9</v>
      </c>
      <c r="H238" s="323">
        <f>0.5*(('WAP for X-AXIS Walls'!F197*145.038)*900)/145.038</f>
        <v>3105</v>
      </c>
      <c r="I238" s="323">
        <f t="shared" si="124"/>
        <v>1242</v>
      </c>
      <c r="J238" s="286">
        <f>'WAP for X-AXIS Walls'!D197</f>
        <v>1.9</v>
      </c>
      <c r="K238" s="324">
        <f t="shared" si="125"/>
        <v>1.526315789</v>
      </c>
      <c r="L238" s="325">
        <f>J238*E238*'WAP for X-AXIS Walls'!G197</f>
        <v>0.12483</v>
      </c>
      <c r="M238" s="325">
        <f t="shared" si="126"/>
        <v>0.0657</v>
      </c>
      <c r="N238" s="326">
        <f t="shared" si="127"/>
        <v>0.037553025</v>
      </c>
      <c r="O238" s="327">
        <f t="shared" si="128"/>
        <v>14342.79503</v>
      </c>
      <c r="P238" s="136">
        <f t="shared" si="129"/>
        <v>0.104025</v>
      </c>
      <c r="Q238" s="327">
        <f t="shared" si="130"/>
        <v>44551.39655</v>
      </c>
      <c r="R238" s="327">
        <f t="shared" si="131"/>
        <v>10849.82291</v>
      </c>
      <c r="S238" s="327">
        <f t="shared" si="132"/>
        <v>0</v>
      </c>
      <c r="T238" s="328">
        <f t="shared" si="133"/>
        <v>-1.75</v>
      </c>
      <c r="U238" s="329">
        <f t="shared" si="134"/>
        <v>33227.58265</v>
      </c>
      <c r="V238" s="68"/>
      <c r="W238" s="68"/>
      <c r="X238" s="68"/>
    </row>
    <row r="239">
      <c r="B239" s="463"/>
      <c r="C239" s="320"/>
      <c r="D239" s="335">
        <f t="shared" si="123"/>
        <v>0</v>
      </c>
      <c r="E239" s="155">
        <v>0.15</v>
      </c>
      <c r="F239" s="475">
        <f>'WAP for X-AXIS Walls'!F198</f>
        <v>6.9</v>
      </c>
      <c r="G239" s="466">
        <v>2.9</v>
      </c>
      <c r="H239" s="323">
        <f>0.5*(('WAP for X-AXIS Walls'!F198*145.038)*900)/145.038</f>
        <v>3105</v>
      </c>
      <c r="I239" s="323">
        <f t="shared" si="124"/>
        <v>1242</v>
      </c>
      <c r="J239" s="286">
        <f>'WAP for X-AXIS Walls'!D198</f>
        <v>0</v>
      </c>
      <c r="K239" s="324">
        <f t="shared" si="125"/>
        <v>0</v>
      </c>
      <c r="L239" s="325">
        <f>J239*E239*'WAP for X-AXIS Walls'!G198</f>
        <v>0</v>
      </c>
      <c r="M239" s="325">
        <f t="shared" si="126"/>
        <v>0</v>
      </c>
      <c r="N239" s="326">
        <f t="shared" si="127"/>
        <v>0</v>
      </c>
      <c r="O239" s="327">
        <f t="shared" si="128"/>
        <v>0</v>
      </c>
      <c r="P239" s="136">
        <f t="shared" si="129"/>
        <v>0</v>
      </c>
      <c r="Q239" s="327">
        <f t="shared" si="130"/>
        <v>0</v>
      </c>
      <c r="R239" s="327">
        <f t="shared" si="131"/>
        <v>0</v>
      </c>
      <c r="S239" s="327">
        <f t="shared" si="132"/>
        <v>0</v>
      </c>
      <c r="T239" s="328">
        <f t="shared" si="133"/>
        <v>-1.75</v>
      </c>
      <c r="U239" s="329">
        <f t="shared" si="134"/>
        <v>0</v>
      </c>
      <c r="V239" s="68"/>
      <c r="W239" s="68"/>
      <c r="X239" s="68"/>
    </row>
    <row r="240">
      <c r="B240" s="464"/>
      <c r="C240" s="320"/>
      <c r="D240" s="335">
        <f t="shared" si="123"/>
        <v>0</v>
      </c>
      <c r="E240" s="155">
        <v>0.15</v>
      </c>
      <c r="F240" s="475">
        <f>'WAP for X-AXIS Walls'!F199</f>
        <v>6.9</v>
      </c>
      <c r="G240" s="466">
        <v>2.9</v>
      </c>
      <c r="H240" s="323">
        <f>0.5*(('WAP for X-AXIS Walls'!F199*145.038)*900)/145.038</f>
        <v>3105</v>
      </c>
      <c r="I240" s="323">
        <f t="shared" si="124"/>
        <v>1242</v>
      </c>
      <c r="J240" s="286">
        <f>'WAP for X-AXIS Walls'!D199</f>
        <v>1.9</v>
      </c>
      <c r="K240" s="324">
        <f t="shared" si="125"/>
        <v>1.526315789</v>
      </c>
      <c r="L240" s="325">
        <f>J240*E240*'WAP for X-AXIS Walls'!G199</f>
        <v>0.12483</v>
      </c>
      <c r="M240" s="325">
        <f t="shared" si="126"/>
        <v>0.0657</v>
      </c>
      <c r="N240" s="326">
        <f t="shared" si="127"/>
        <v>0.037553025</v>
      </c>
      <c r="O240" s="327">
        <f t="shared" si="128"/>
        <v>14342.79503</v>
      </c>
      <c r="P240" s="136">
        <f t="shared" si="129"/>
        <v>0.104025</v>
      </c>
      <c r="Q240" s="327">
        <f t="shared" si="130"/>
        <v>44551.39655</v>
      </c>
      <c r="R240" s="327">
        <f t="shared" si="131"/>
        <v>10849.82291</v>
      </c>
      <c r="S240" s="327">
        <f t="shared" si="132"/>
        <v>0</v>
      </c>
      <c r="T240" s="328">
        <f t="shared" si="133"/>
        <v>-1.75</v>
      </c>
      <c r="U240" s="329">
        <f t="shared" si="134"/>
        <v>33227.58265</v>
      </c>
      <c r="V240" s="68"/>
      <c r="W240" s="68"/>
      <c r="X240" s="68"/>
    </row>
    <row r="241">
      <c r="B241" s="464"/>
      <c r="C241" s="320"/>
      <c r="D241" s="335">
        <f t="shared" si="123"/>
        <v>0</v>
      </c>
      <c r="E241" s="155">
        <v>0.15</v>
      </c>
      <c r="F241" s="475">
        <f>'WAP for X-AXIS Walls'!F200</f>
        <v>6.9</v>
      </c>
      <c r="G241" s="466">
        <v>2.9</v>
      </c>
      <c r="H241" s="323">
        <f>0.5*(('WAP for X-AXIS Walls'!F200*145.038)*900)/145.038</f>
        <v>3105</v>
      </c>
      <c r="I241" s="323">
        <f t="shared" si="124"/>
        <v>1242</v>
      </c>
      <c r="J241" s="286">
        <f>'WAP for X-AXIS Walls'!D200</f>
        <v>1.3</v>
      </c>
      <c r="K241" s="324">
        <f t="shared" si="125"/>
        <v>2.230769231</v>
      </c>
      <c r="L241" s="325">
        <f>J241*E241*'WAP for X-AXIS Walls'!G200</f>
        <v>0.08541</v>
      </c>
      <c r="M241" s="325">
        <f t="shared" si="126"/>
        <v>0.0657</v>
      </c>
      <c r="N241" s="326">
        <f t="shared" si="127"/>
        <v>0.012028575</v>
      </c>
      <c r="O241" s="327">
        <f t="shared" si="128"/>
        <v>4594.127522</v>
      </c>
      <c r="P241" s="136">
        <f t="shared" si="129"/>
        <v>0.071175</v>
      </c>
      <c r="Q241" s="327">
        <f t="shared" si="130"/>
        <v>30482.53448</v>
      </c>
      <c r="R241" s="327">
        <f t="shared" si="131"/>
        <v>3992.416684</v>
      </c>
      <c r="S241" s="327">
        <f t="shared" si="132"/>
        <v>0</v>
      </c>
      <c r="T241" s="328">
        <f t="shared" si="133"/>
        <v>-1.75</v>
      </c>
      <c r="U241" s="329">
        <f t="shared" si="134"/>
        <v>12226.77609</v>
      </c>
      <c r="V241" s="68"/>
      <c r="W241" s="68"/>
      <c r="X241" s="68"/>
    </row>
    <row r="242">
      <c r="B242" s="476">
        <f t="shared" ref="B242:D242" si="135">B24</f>
        <v>0.825</v>
      </c>
      <c r="C242" s="320">
        <f t="shared" si="135"/>
        <v>22.28325</v>
      </c>
      <c r="D242" s="335" t="str">
        <f t="shared" si="135"/>
        <v/>
      </c>
      <c r="E242" s="155"/>
      <c r="F242" s="475" t="str">
        <f>'WAP for X-AXIS Walls'!F201</f>
        <v/>
      </c>
      <c r="G242" s="466"/>
      <c r="H242" s="323"/>
      <c r="I242" s="323"/>
      <c r="J242" s="286"/>
      <c r="K242" s="324"/>
      <c r="L242" s="325"/>
      <c r="M242" s="325"/>
      <c r="N242" s="326"/>
      <c r="O242" s="327"/>
      <c r="P242" s="136"/>
      <c r="Q242" s="327"/>
      <c r="R242" s="327"/>
      <c r="S242" s="327"/>
      <c r="T242" s="328"/>
      <c r="U242" s="329"/>
      <c r="V242" s="68"/>
      <c r="W242" s="68"/>
      <c r="X242" s="68"/>
    </row>
    <row r="243">
      <c r="B243" s="476" t="str">
        <f t="shared" ref="B243:D243" si="136">B25</f>
        <v/>
      </c>
      <c r="C243" s="320" t="str">
        <f t="shared" si="136"/>
        <v/>
      </c>
      <c r="D243" s="335">
        <f t="shared" si="136"/>
        <v>3.5</v>
      </c>
      <c r="E243" s="155">
        <v>0.15</v>
      </c>
      <c r="F243" s="475">
        <f>'WAP for X-AXIS Walls'!F202</f>
        <v>6.9</v>
      </c>
      <c r="G243" s="466">
        <v>2.9</v>
      </c>
      <c r="H243" s="323">
        <f>0.5*(('WAP for X-AXIS Walls'!F202*145.038)*900)/145.038</f>
        <v>3105</v>
      </c>
      <c r="I243" s="323">
        <f t="shared" ref="I243:I247" si="138">H243*0.4</f>
        <v>1242</v>
      </c>
      <c r="J243" s="286">
        <f>'WAP for X-AXIS Walls'!D202</f>
        <v>1.3</v>
      </c>
      <c r="K243" s="324">
        <f t="shared" ref="K243:K247" si="139">if(J243=0,0,G243/J243)</f>
        <v>2.230769231</v>
      </c>
      <c r="L243" s="325">
        <f>J243*E243*'WAP for X-AXIS Walls'!G202</f>
        <v>0.08541</v>
      </c>
      <c r="M243" s="325">
        <f t="shared" ref="M243:M247" si="140">if(J243=0,0,L243/J243)</f>
        <v>0.0657</v>
      </c>
      <c r="N243" s="326">
        <f t="shared" ref="N243:N247" si="141">M243*J243^3/12</f>
        <v>0.012028575</v>
      </c>
      <c r="O243" s="327">
        <f t="shared" ref="O243:O247" si="142">H243*1000*N243*3/G243^3</f>
        <v>4594.127522</v>
      </c>
      <c r="P243" s="136">
        <f t="shared" ref="P243:P247" si="143">5/6*L243</f>
        <v>0.071175</v>
      </c>
      <c r="Q243" s="327">
        <f t="shared" ref="Q243:Q247" si="144">I243*1000*P243/G243</f>
        <v>30482.53448</v>
      </c>
      <c r="R243" s="327">
        <f t="shared" ref="R243:R247" si="145">IF(OR(Q243=0,O243=0),0,(1/(1/O243+1/Q243)))</f>
        <v>3992.416684</v>
      </c>
      <c r="S243" s="327">
        <f t="shared" ref="S243:S247" si="146">R243*D243</f>
        <v>13973.45839</v>
      </c>
      <c r="T243" s="328">
        <f t="shared" ref="T243:T247" si="147">D243-$F$150</f>
        <v>1.75</v>
      </c>
      <c r="U243" s="329">
        <f t="shared" ref="U243:U247" si="148">R243*T243^2</f>
        <v>12226.77609</v>
      </c>
      <c r="V243" s="68"/>
      <c r="W243" s="68"/>
      <c r="X243" s="68"/>
    </row>
    <row r="244">
      <c r="B244" s="476" t="str">
        <f t="shared" ref="B244:D244" si="137">B26</f>
        <v/>
      </c>
      <c r="C244" s="320" t="str">
        <f t="shared" si="137"/>
        <v/>
      </c>
      <c r="D244" s="335">
        <f t="shared" si="137"/>
        <v>3.5</v>
      </c>
      <c r="E244" s="155">
        <v>0.15</v>
      </c>
      <c r="F244" s="475">
        <f>'WAP for X-AXIS Walls'!F203</f>
        <v>6.9</v>
      </c>
      <c r="G244" s="466">
        <v>2.9</v>
      </c>
      <c r="H244" s="323">
        <f>0.5*(('WAP for X-AXIS Walls'!F203*145.038)*900)/145.038</f>
        <v>3105</v>
      </c>
      <c r="I244" s="323">
        <f t="shared" si="138"/>
        <v>1242</v>
      </c>
      <c r="J244" s="286">
        <f>'WAP for X-AXIS Walls'!D203</f>
        <v>1.9</v>
      </c>
      <c r="K244" s="324">
        <f t="shared" si="139"/>
        <v>1.526315789</v>
      </c>
      <c r="L244" s="325">
        <f>J244*E244*'WAP for X-AXIS Walls'!G203</f>
        <v>0.12483</v>
      </c>
      <c r="M244" s="325">
        <f t="shared" si="140"/>
        <v>0.0657</v>
      </c>
      <c r="N244" s="326">
        <f t="shared" si="141"/>
        <v>0.037553025</v>
      </c>
      <c r="O244" s="327">
        <f t="shared" si="142"/>
        <v>14342.79503</v>
      </c>
      <c r="P244" s="136">
        <f t="shared" si="143"/>
        <v>0.104025</v>
      </c>
      <c r="Q244" s="327">
        <f t="shared" si="144"/>
        <v>44551.39655</v>
      </c>
      <c r="R244" s="327">
        <f t="shared" si="145"/>
        <v>10849.82291</v>
      </c>
      <c r="S244" s="327">
        <f t="shared" si="146"/>
        <v>37974.38017</v>
      </c>
      <c r="T244" s="328">
        <f t="shared" si="147"/>
        <v>1.75</v>
      </c>
      <c r="U244" s="329">
        <f t="shared" si="148"/>
        <v>33227.58265</v>
      </c>
      <c r="V244" s="68"/>
      <c r="W244" s="68"/>
      <c r="X244" s="68"/>
    </row>
    <row r="245">
      <c r="B245" s="476" t="str">
        <f t="shared" ref="B245:D245" si="149">B27</f>
        <v/>
      </c>
      <c r="C245" s="320" t="str">
        <f t="shared" si="149"/>
        <v/>
      </c>
      <c r="D245" s="335">
        <f t="shared" si="149"/>
        <v>3.5</v>
      </c>
      <c r="E245" s="155">
        <v>0.15</v>
      </c>
      <c r="F245" s="475">
        <f>'WAP for X-AXIS Walls'!F204</f>
        <v>6.9</v>
      </c>
      <c r="G245" s="466">
        <v>2.9</v>
      </c>
      <c r="H245" s="323">
        <f>0.5*(('WAP for X-AXIS Walls'!F204*145.038)*900)/145.038</f>
        <v>3105</v>
      </c>
      <c r="I245" s="323">
        <f t="shared" si="138"/>
        <v>1242</v>
      </c>
      <c r="J245" s="286">
        <f>'WAP for X-AXIS Walls'!D204</f>
        <v>0</v>
      </c>
      <c r="K245" s="324">
        <f t="shared" si="139"/>
        <v>0</v>
      </c>
      <c r="L245" s="325">
        <f>J245*E245*'WAP for X-AXIS Walls'!G204</f>
        <v>0</v>
      </c>
      <c r="M245" s="325">
        <f t="shared" si="140"/>
        <v>0</v>
      </c>
      <c r="N245" s="326">
        <f t="shared" si="141"/>
        <v>0</v>
      </c>
      <c r="O245" s="327">
        <f t="shared" si="142"/>
        <v>0</v>
      </c>
      <c r="P245" s="136">
        <f t="shared" si="143"/>
        <v>0</v>
      </c>
      <c r="Q245" s="327">
        <f t="shared" si="144"/>
        <v>0</v>
      </c>
      <c r="R245" s="327">
        <f t="shared" si="145"/>
        <v>0</v>
      </c>
      <c r="S245" s="327">
        <f t="shared" si="146"/>
        <v>0</v>
      </c>
      <c r="T245" s="328">
        <f t="shared" si="147"/>
        <v>1.75</v>
      </c>
      <c r="U245" s="329">
        <f t="shared" si="148"/>
        <v>0</v>
      </c>
      <c r="V245" s="68"/>
      <c r="W245" s="68"/>
      <c r="X245" s="68"/>
    </row>
    <row r="246">
      <c r="B246" s="476" t="str">
        <f t="shared" ref="B246:D246" si="150">B28</f>
        <v/>
      </c>
      <c r="C246" s="320" t="str">
        <f t="shared" si="150"/>
        <v/>
      </c>
      <c r="D246" s="335">
        <f t="shared" si="150"/>
        <v>3.5</v>
      </c>
      <c r="E246" s="155">
        <v>0.15</v>
      </c>
      <c r="F246" s="475">
        <f>'WAP for X-AXIS Walls'!F205</f>
        <v>6.9</v>
      </c>
      <c r="G246" s="466">
        <v>2.9</v>
      </c>
      <c r="H246" s="323">
        <f>0.5*(('WAP for X-AXIS Walls'!F205*145.038)*900)/145.038</f>
        <v>3105</v>
      </c>
      <c r="I246" s="323">
        <f t="shared" si="138"/>
        <v>1242</v>
      </c>
      <c r="J246" s="286">
        <f>'WAP for X-AXIS Walls'!D205</f>
        <v>1.9</v>
      </c>
      <c r="K246" s="324">
        <f t="shared" si="139"/>
        <v>1.526315789</v>
      </c>
      <c r="L246" s="325">
        <f>J246*E246*'WAP for X-AXIS Walls'!G205</f>
        <v>0.12483</v>
      </c>
      <c r="M246" s="325">
        <f t="shared" si="140"/>
        <v>0.0657</v>
      </c>
      <c r="N246" s="326">
        <f t="shared" si="141"/>
        <v>0.037553025</v>
      </c>
      <c r="O246" s="327">
        <f t="shared" si="142"/>
        <v>14342.79503</v>
      </c>
      <c r="P246" s="136">
        <f t="shared" si="143"/>
        <v>0.104025</v>
      </c>
      <c r="Q246" s="327">
        <f t="shared" si="144"/>
        <v>44551.39655</v>
      </c>
      <c r="R246" s="327">
        <f t="shared" si="145"/>
        <v>10849.82291</v>
      </c>
      <c r="S246" s="327">
        <f t="shared" si="146"/>
        <v>37974.38017</v>
      </c>
      <c r="T246" s="328">
        <f t="shared" si="147"/>
        <v>1.75</v>
      </c>
      <c r="U246" s="329">
        <f t="shared" si="148"/>
        <v>33227.58265</v>
      </c>
      <c r="V246" s="68"/>
      <c r="W246" s="68"/>
      <c r="X246" s="68"/>
    </row>
    <row r="247">
      <c r="B247" s="476" t="str">
        <f t="shared" ref="B247:D247" si="151">B29</f>
        <v/>
      </c>
      <c r="C247" s="320" t="str">
        <f t="shared" si="151"/>
        <v/>
      </c>
      <c r="D247" s="335">
        <f t="shared" si="151"/>
        <v>3.5</v>
      </c>
      <c r="E247" s="155">
        <v>0.15</v>
      </c>
      <c r="F247" s="475">
        <f>'WAP for X-AXIS Walls'!F206</f>
        <v>6.9</v>
      </c>
      <c r="G247" s="466">
        <v>2.9</v>
      </c>
      <c r="H247" s="323">
        <f>0.5*(('WAP for X-AXIS Walls'!F206*145.038)*900)/145.038</f>
        <v>3105</v>
      </c>
      <c r="I247" s="323">
        <f t="shared" si="138"/>
        <v>1242</v>
      </c>
      <c r="J247" s="286">
        <f>'WAP for X-AXIS Walls'!D206</f>
        <v>1.3</v>
      </c>
      <c r="K247" s="324">
        <f t="shared" si="139"/>
        <v>2.230769231</v>
      </c>
      <c r="L247" s="325">
        <f>J247*E247*'WAP for X-AXIS Walls'!G206</f>
        <v>0.08541</v>
      </c>
      <c r="M247" s="325">
        <f t="shared" si="140"/>
        <v>0.0657</v>
      </c>
      <c r="N247" s="326">
        <f t="shared" si="141"/>
        <v>0.012028575</v>
      </c>
      <c r="O247" s="327">
        <f t="shared" si="142"/>
        <v>4594.127522</v>
      </c>
      <c r="P247" s="136">
        <f t="shared" si="143"/>
        <v>0.071175</v>
      </c>
      <c r="Q247" s="327">
        <f t="shared" si="144"/>
        <v>30482.53448</v>
      </c>
      <c r="R247" s="327">
        <f t="shared" si="145"/>
        <v>3992.416684</v>
      </c>
      <c r="S247" s="327">
        <f t="shared" si="146"/>
        <v>13973.45839</v>
      </c>
      <c r="T247" s="328">
        <f t="shared" si="147"/>
        <v>1.75</v>
      </c>
      <c r="U247" s="329">
        <f t="shared" si="148"/>
        <v>12226.77609</v>
      </c>
      <c r="V247" s="68"/>
      <c r="W247" s="68"/>
      <c r="X247" s="68"/>
    </row>
    <row r="248">
      <c r="B248" s="476">
        <f t="shared" ref="B248:C248" si="152">B30</f>
        <v>2.675</v>
      </c>
      <c r="C248" s="320">
        <f t="shared" si="152"/>
        <v>72.25175</v>
      </c>
      <c r="D248" s="321"/>
      <c r="E248" s="155"/>
      <c r="F248" s="155"/>
      <c r="G248" s="155" t="str">
        <f>'WAP for Y-AXIS Walls'!E240</f>
        <v/>
      </c>
      <c r="H248" s="324"/>
      <c r="I248" s="82"/>
      <c r="J248" s="286"/>
      <c r="K248" s="324"/>
      <c r="L248" s="82"/>
      <c r="M248" s="82"/>
      <c r="N248" s="136"/>
      <c r="O248" s="327"/>
      <c r="P248" s="328"/>
      <c r="Q248" s="327"/>
      <c r="R248" s="327"/>
      <c r="S248" s="327"/>
      <c r="T248" s="82"/>
      <c r="U248" s="342"/>
      <c r="V248" s="68"/>
      <c r="W248" s="68"/>
      <c r="X248" s="68"/>
    </row>
    <row r="249">
      <c r="B249" s="156"/>
      <c r="C249" s="343"/>
      <c r="D249" s="344"/>
      <c r="E249" s="440"/>
      <c r="F249" s="440"/>
      <c r="G249" s="440"/>
      <c r="H249" s="440"/>
      <c r="I249" s="127"/>
      <c r="J249" s="158"/>
      <c r="K249" s="440"/>
      <c r="L249" s="127"/>
      <c r="M249" s="127"/>
      <c r="N249" s="163"/>
      <c r="O249" s="441"/>
      <c r="P249" s="347"/>
      <c r="Q249" s="441"/>
      <c r="R249" s="441"/>
      <c r="S249" s="441"/>
      <c r="T249" s="127"/>
      <c r="U249" s="442"/>
      <c r="V249" s="68"/>
      <c r="W249" s="68"/>
      <c r="X249" s="68"/>
    </row>
    <row r="250">
      <c r="B250" s="345"/>
      <c r="C250" s="346">
        <f>SUM(C237:C249)</f>
        <v>94.535</v>
      </c>
      <c r="D250" s="443" t="str">
        <f>D248</f>
        <v/>
      </c>
      <c r="E250" s="444"/>
      <c r="F250" s="444"/>
      <c r="G250" s="444"/>
      <c r="H250" s="444"/>
      <c r="I250" s="444"/>
      <c r="J250" s="444"/>
      <c r="K250" s="444"/>
      <c r="L250" s="444"/>
      <c r="M250" s="444"/>
      <c r="N250" s="444"/>
      <c r="O250" s="127"/>
      <c r="P250" s="127"/>
      <c r="Q250" s="444"/>
      <c r="R250" s="441">
        <f t="shared" ref="R250:S250" si="153">sum(R237:R249)</f>
        <v>59368.95836</v>
      </c>
      <c r="S250" s="441">
        <f t="shared" si="153"/>
        <v>103895.6771</v>
      </c>
      <c r="T250" s="399" t="s">
        <v>333</v>
      </c>
      <c r="U250" s="445">
        <f>sum(U237:U249)</f>
        <v>181817.435</v>
      </c>
      <c r="V250" s="68"/>
      <c r="W250" s="68"/>
      <c r="X250" s="68"/>
    </row>
    <row r="251">
      <c r="B251" s="68"/>
      <c r="C251" s="446">
        <f>C250/'WAP for X-AXIS Walls'!O209</f>
        <v>1.75</v>
      </c>
      <c r="D251" s="80" t="s">
        <v>334</v>
      </c>
      <c r="E251" s="68"/>
      <c r="F251" s="68"/>
      <c r="G251" s="68"/>
      <c r="H251" s="68"/>
      <c r="I251" s="68"/>
      <c r="J251" s="68"/>
      <c r="K251" s="68"/>
      <c r="L251" s="68"/>
      <c r="M251" s="328"/>
      <c r="P251" s="68"/>
      <c r="Q251" s="77" t="s">
        <v>335</v>
      </c>
      <c r="R251" s="477">
        <f>'Detailed Check Y-AXIS Walls'!R248</f>
        <v>50684.35817</v>
      </c>
      <c r="T251" s="80" t="s">
        <v>336</v>
      </c>
      <c r="U251" s="358">
        <f>'Detailed Check Y-AXIS Walls'!U248</f>
        <v>1805876.359</v>
      </c>
      <c r="V251" s="68"/>
      <c r="W251" s="68"/>
    </row>
    <row r="252">
      <c r="B252" s="68"/>
      <c r="C252" s="68"/>
      <c r="D252" s="68"/>
      <c r="E252" s="68"/>
      <c r="F252" s="68"/>
      <c r="G252" s="68"/>
      <c r="H252" s="68"/>
      <c r="I252" s="68"/>
      <c r="J252" s="68"/>
      <c r="K252" s="68"/>
      <c r="L252" s="68"/>
      <c r="M252" s="328"/>
      <c r="N252" s="82"/>
      <c r="O252" s="82"/>
      <c r="P252" s="68"/>
      <c r="R252" s="68"/>
      <c r="T252" s="80" t="s">
        <v>338</v>
      </c>
      <c r="U252" s="327">
        <f>U250+U251</f>
        <v>1987693.794</v>
      </c>
      <c r="V252" s="68"/>
      <c r="W252" s="68"/>
    </row>
    <row r="253">
      <c r="K253" s="82"/>
      <c r="L253" s="82"/>
      <c r="M253" s="68"/>
      <c r="N253" s="68"/>
      <c r="O253" s="68"/>
      <c r="P253" s="68"/>
      <c r="Q253" s="68"/>
      <c r="R253" s="68"/>
      <c r="S253" s="68"/>
      <c r="T253" s="68"/>
      <c r="U253" s="68"/>
      <c r="V253" s="68"/>
      <c r="W253" s="68"/>
    </row>
    <row r="254">
      <c r="K254" s="68"/>
      <c r="L254" s="68"/>
      <c r="M254" s="68"/>
      <c r="N254" s="68"/>
      <c r="O254" s="68"/>
      <c r="P254" s="68"/>
      <c r="Q254" s="68"/>
      <c r="R254" s="68"/>
      <c r="S254" s="68"/>
      <c r="T254" s="68"/>
      <c r="U254" s="68"/>
      <c r="V254" s="68"/>
      <c r="W254" s="68"/>
    </row>
    <row r="255">
      <c r="B255" s="363" t="s">
        <v>342</v>
      </c>
      <c r="C255" s="364"/>
      <c r="D255" s="364"/>
      <c r="E255" s="364"/>
      <c r="F255" s="68"/>
      <c r="G255" s="68"/>
      <c r="H255" s="68"/>
      <c r="I255" s="68"/>
      <c r="J255" s="328"/>
      <c r="K255" s="68"/>
      <c r="L255" s="68"/>
      <c r="M255" s="68"/>
      <c r="N255" s="68"/>
      <c r="O255" s="68"/>
      <c r="P255" s="68"/>
      <c r="Q255" s="68"/>
      <c r="R255" s="68"/>
      <c r="S255" s="68"/>
      <c r="T255" s="68"/>
      <c r="U255" s="68"/>
      <c r="V255" s="68"/>
      <c r="W255" s="68"/>
    </row>
    <row r="256">
      <c r="B256" s="365"/>
      <c r="C256" s="366"/>
      <c r="D256" s="364"/>
      <c r="E256" s="364"/>
      <c r="F256" s="367"/>
      <c r="G256" s="68"/>
      <c r="H256" s="68"/>
      <c r="I256" s="68"/>
      <c r="J256" s="68"/>
      <c r="M256" s="68"/>
      <c r="N256" s="68"/>
      <c r="O256" s="68"/>
      <c r="P256" s="68"/>
      <c r="Q256" s="68"/>
      <c r="R256" s="68"/>
      <c r="S256" s="68"/>
      <c r="T256" s="68"/>
      <c r="U256" s="68"/>
      <c r="V256" s="68"/>
      <c r="W256" s="68"/>
    </row>
    <row r="257">
      <c r="B257" s="68"/>
      <c r="M257" s="68"/>
      <c r="N257" s="68"/>
      <c r="O257" s="68"/>
      <c r="P257" s="68"/>
      <c r="Q257" s="68"/>
      <c r="R257" s="68"/>
      <c r="S257" s="68"/>
      <c r="T257" s="68"/>
      <c r="U257" s="68"/>
      <c r="V257" s="68"/>
      <c r="W257" s="68"/>
    </row>
    <row r="258">
      <c r="B258" s="328"/>
      <c r="C258" s="68"/>
      <c r="D258" s="68"/>
      <c r="E258" s="70"/>
      <c r="F258" s="328"/>
      <c r="G258" s="80"/>
      <c r="H258" s="71"/>
      <c r="I258" s="68"/>
      <c r="J258" s="68"/>
      <c r="M258" s="68"/>
      <c r="N258" s="68"/>
      <c r="O258" s="68"/>
      <c r="P258" s="68"/>
      <c r="Q258" s="68"/>
      <c r="R258" s="68"/>
      <c r="S258" s="68"/>
      <c r="T258" s="68"/>
      <c r="U258" s="68"/>
      <c r="V258" s="68"/>
      <c r="W258" s="68"/>
    </row>
    <row r="259">
      <c r="B259" s="328"/>
      <c r="C259" s="82"/>
      <c r="D259" s="68"/>
      <c r="E259" s="70" t="s">
        <v>523</v>
      </c>
      <c r="F259" s="328">
        <f>S250/R250</f>
        <v>1.75</v>
      </c>
      <c r="G259" s="80" t="s">
        <v>344</v>
      </c>
      <c r="H259" s="68"/>
      <c r="I259" s="71" t="s">
        <v>500</v>
      </c>
      <c r="J259" s="68"/>
      <c r="M259" s="68"/>
      <c r="N259" s="68"/>
      <c r="O259" s="68"/>
      <c r="P259" s="68"/>
      <c r="Q259" s="68"/>
      <c r="R259" s="68"/>
      <c r="S259" s="68"/>
      <c r="T259" s="68"/>
      <c r="U259" s="68"/>
      <c r="V259" s="68"/>
      <c r="W259" s="68"/>
    </row>
    <row r="260">
      <c r="B260" s="328"/>
      <c r="C260" s="82"/>
      <c r="D260" s="68"/>
      <c r="E260" s="70" t="s">
        <v>345</v>
      </c>
      <c r="F260" s="328">
        <f>'WAP for X-AXIS Walls'!I239/R250*1000</f>
        <v>3.98797206</v>
      </c>
      <c r="G260" s="43" t="s">
        <v>346</v>
      </c>
      <c r="H260" s="71" t="s">
        <v>347</v>
      </c>
      <c r="I260" s="68"/>
      <c r="J260" s="68"/>
      <c r="M260" s="68"/>
      <c r="N260" s="68"/>
      <c r="O260" s="68"/>
      <c r="P260" s="68"/>
      <c r="Q260" s="68"/>
      <c r="R260" s="68"/>
      <c r="S260" s="68"/>
      <c r="T260" s="68"/>
      <c r="U260" s="68"/>
      <c r="V260" s="68"/>
      <c r="W260" s="68"/>
    </row>
    <row r="261">
      <c r="B261" s="328"/>
      <c r="C261" s="82"/>
      <c r="D261" s="68"/>
      <c r="E261" s="70" t="s">
        <v>348</v>
      </c>
      <c r="F261" s="328">
        <f>C251</f>
        <v>1.75</v>
      </c>
      <c r="G261" s="43" t="s">
        <v>84</v>
      </c>
      <c r="H261" s="68"/>
      <c r="I261" s="68"/>
      <c r="J261" s="68"/>
      <c r="M261" s="68"/>
      <c r="N261" s="68"/>
      <c r="O261" s="68"/>
      <c r="P261" s="68"/>
      <c r="Q261" s="68"/>
      <c r="R261" s="68"/>
      <c r="S261" s="68"/>
      <c r="T261" s="68"/>
      <c r="U261" s="68"/>
      <c r="V261" s="68"/>
      <c r="W261" s="68"/>
    </row>
    <row r="262">
      <c r="B262" s="328"/>
      <c r="C262" s="82"/>
      <c r="D262" s="68"/>
      <c r="E262" s="70" t="s">
        <v>349</v>
      </c>
      <c r="F262" s="328">
        <f>F261-F259</f>
        <v>0</v>
      </c>
      <c r="G262" s="80" t="s">
        <v>344</v>
      </c>
      <c r="H262" s="71" t="s">
        <v>350</v>
      </c>
      <c r="I262" s="68"/>
      <c r="J262" s="68"/>
      <c r="M262" s="68"/>
      <c r="N262" s="68"/>
      <c r="O262" s="68"/>
      <c r="P262" s="68"/>
      <c r="Q262" s="68"/>
      <c r="R262" s="68"/>
      <c r="S262" s="68"/>
      <c r="T262" s="68"/>
      <c r="U262" s="68"/>
      <c r="V262" s="68"/>
      <c r="W262" s="68"/>
    </row>
    <row r="263">
      <c r="B263" s="328"/>
      <c r="C263" s="82"/>
      <c r="D263" s="68"/>
      <c r="E263" s="77" t="s">
        <v>351</v>
      </c>
      <c r="F263" s="408">
        <f>$D$227</f>
        <v>3.7</v>
      </c>
      <c r="G263" s="71" t="s">
        <v>84</v>
      </c>
      <c r="H263" s="68"/>
      <c r="I263" s="68"/>
      <c r="J263" s="68"/>
      <c r="K263" s="68"/>
      <c r="L263" s="68"/>
      <c r="M263" s="68"/>
      <c r="N263" s="68"/>
      <c r="O263" s="68"/>
      <c r="P263" s="68"/>
      <c r="Q263" s="68"/>
      <c r="R263" s="68"/>
      <c r="S263" s="68"/>
      <c r="T263" s="68"/>
      <c r="U263" s="68"/>
      <c r="V263" s="68"/>
      <c r="W263" s="68"/>
    </row>
    <row r="264">
      <c r="C264" s="82"/>
      <c r="D264" s="68"/>
      <c r="E264" s="70" t="s">
        <v>352</v>
      </c>
      <c r="F264" s="368">
        <f>F262/F263</f>
        <v>0</v>
      </c>
      <c r="G264" s="71" t="s">
        <v>353</v>
      </c>
      <c r="H264" s="71" t="s">
        <v>354</v>
      </c>
      <c r="I264" s="68"/>
      <c r="J264" s="68"/>
      <c r="K264" s="68"/>
      <c r="L264" s="68"/>
      <c r="M264" s="68"/>
      <c r="N264" s="68"/>
      <c r="O264" s="68"/>
      <c r="P264" s="68"/>
      <c r="Q264" s="68"/>
      <c r="R264" s="68"/>
      <c r="S264" s="68"/>
      <c r="T264" s="68"/>
      <c r="U264" s="68"/>
      <c r="V264" s="68"/>
      <c r="W264" s="68"/>
    </row>
    <row r="265" ht="29.25" customHeight="1">
      <c r="J265" s="68"/>
      <c r="K265" s="68"/>
      <c r="L265" s="68"/>
      <c r="M265" s="68"/>
      <c r="N265" s="68"/>
      <c r="O265" s="68"/>
      <c r="P265" s="68"/>
      <c r="Q265" s="68"/>
      <c r="R265" s="68"/>
      <c r="S265" s="68"/>
      <c r="T265" s="68"/>
      <c r="U265" s="68"/>
      <c r="V265" s="68"/>
      <c r="W265" s="68"/>
    </row>
    <row r="266" ht="26.25" customHeight="1">
      <c r="I266" s="68"/>
      <c r="J266" s="68"/>
      <c r="K266" s="68"/>
      <c r="L266" s="68"/>
      <c r="M266" s="68"/>
      <c r="N266" s="68"/>
      <c r="O266" s="68"/>
      <c r="P266" s="68"/>
      <c r="Q266" s="68"/>
      <c r="R266" s="68"/>
      <c r="S266" s="68"/>
      <c r="T266" s="68"/>
      <c r="U266" s="68"/>
      <c r="V266" s="68"/>
      <c r="W266" s="68"/>
    </row>
    <row r="267" ht="30.0" customHeight="1">
      <c r="I267" s="68"/>
      <c r="J267" s="68"/>
      <c r="K267" s="68"/>
      <c r="L267" s="68"/>
      <c r="M267" s="68"/>
      <c r="N267" s="68"/>
      <c r="O267" s="68"/>
      <c r="P267" s="68"/>
      <c r="Q267" s="68"/>
      <c r="R267" s="68"/>
      <c r="S267" s="68"/>
      <c r="T267" s="68"/>
      <c r="U267" s="68"/>
      <c r="V267" s="68"/>
      <c r="W267" s="68"/>
    </row>
    <row r="268" ht="31.5" customHeight="1">
      <c r="I268" s="68"/>
      <c r="J268" s="68"/>
      <c r="K268" s="68"/>
      <c r="L268" s="68"/>
      <c r="M268" s="68"/>
      <c r="N268" s="68"/>
      <c r="O268" s="68"/>
      <c r="P268" s="68"/>
      <c r="Q268" s="68"/>
      <c r="R268" s="68"/>
      <c r="S268" s="68"/>
      <c r="T268" s="68"/>
      <c r="U268" s="68"/>
      <c r="V268" s="68"/>
      <c r="W268" s="68"/>
    </row>
    <row r="269" ht="32.25" customHeight="1">
      <c r="I269" s="68"/>
      <c r="J269" s="68"/>
      <c r="K269" s="68"/>
      <c r="L269" s="68"/>
      <c r="M269" s="68"/>
      <c r="N269" s="68"/>
      <c r="O269" s="68"/>
      <c r="P269" s="68"/>
      <c r="Q269" s="68"/>
      <c r="R269" s="68"/>
      <c r="S269" s="68"/>
      <c r="T269" s="68"/>
      <c r="U269" s="68"/>
      <c r="V269" s="68"/>
      <c r="W269" s="68"/>
    </row>
    <row r="270" ht="26.25" customHeight="1">
      <c r="A270" s="47"/>
      <c r="B270" s="43"/>
      <c r="C270" s="44"/>
      <c r="D270" s="43"/>
      <c r="E270" s="43"/>
      <c r="F270" s="43"/>
      <c r="G270" s="68"/>
      <c r="H270" s="68"/>
      <c r="I270" s="68"/>
      <c r="J270" s="68"/>
      <c r="K270" s="68"/>
      <c r="L270" s="68"/>
      <c r="M270" s="68"/>
      <c r="N270" s="45"/>
      <c r="O270" s="43"/>
      <c r="P270" s="43"/>
      <c r="Q270" s="43"/>
      <c r="R270" s="68"/>
      <c r="S270" s="68"/>
      <c r="T270" s="68"/>
      <c r="U270" s="68"/>
      <c r="V270" s="68"/>
      <c r="W270" s="68"/>
    </row>
    <row r="271">
      <c r="A271" s="47"/>
      <c r="B271" s="49" t="s">
        <v>75</v>
      </c>
      <c r="C271" s="50"/>
      <c r="D271" s="51"/>
      <c r="E271" s="51"/>
      <c r="F271" s="51"/>
      <c r="G271" s="51"/>
      <c r="H271" s="51"/>
      <c r="I271" s="51"/>
      <c r="J271" s="51"/>
      <c r="K271" s="51"/>
      <c r="L271" s="51"/>
      <c r="M271" s="51"/>
      <c r="N271" s="52" t="s">
        <v>76</v>
      </c>
      <c r="O271" s="52"/>
      <c r="P271" s="51"/>
      <c r="Q271" s="51"/>
      <c r="R271" s="68"/>
      <c r="S271" s="68"/>
      <c r="T271" s="68"/>
      <c r="U271" s="68"/>
      <c r="V271" s="68"/>
      <c r="W271" s="68"/>
    </row>
    <row r="272">
      <c r="A272" s="47"/>
      <c r="B272" s="49" t="s">
        <v>77</v>
      </c>
      <c r="C272" s="55" t="s">
        <v>78</v>
      </c>
      <c r="D272" s="56"/>
      <c r="E272" s="51"/>
      <c r="F272" s="51"/>
      <c r="G272" s="51"/>
      <c r="H272" s="51"/>
      <c r="I272" s="51"/>
      <c r="J272" s="51"/>
      <c r="K272" s="51"/>
      <c r="L272" s="51"/>
      <c r="M272" s="51"/>
      <c r="N272" s="57" t="s">
        <v>79</v>
      </c>
      <c r="O272" s="57"/>
      <c r="P272" s="51"/>
      <c r="Q272" s="51"/>
      <c r="R272" s="68"/>
      <c r="S272" s="68"/>
      <c r="T272" s="68"/>
      <c r="U272" s="68"/>
      <c r="V272" s="68"/>
      <c r="W272" s="68"/>
    </row>
    <row r="273">
      <c r="A273" s="47"/>
      <c r="B273" s="51"/>
      <c r="C273" s="52"/>
      <c r="D273" s="56"/>
      <c r="E273" s="51"/>
      <c r="F273" s="51"/>
      <c r="G273" s="51"/>
      <c r="H273" s="51"/>
      <c r="I273" s="51"/>
      <c r="J273" s="51"/>
      <c r="K273" s="51"/>
      <c r="L273" s="51"/>
      <c r="M273" s="51"/>
      <c r="N273" s="57" t="s">
        <v>80</v>
      </c>
      <c r="O273" s="57"/>
      <c r="P273" s="51"/>
      <c r="Q273" s="51"/>
      <c r="R273" s="68"/>
      <c r="S273" s="68"/>
      <c r="T273" s="68"/>
      <c r="U273" s="68"/>
      <c r="V273" s="68"/>
      <c r="W273" s="68"/>
    </row>
    <row r="274">
      <c r="A274" s="33"/>
      <c r="B274" s="43"/>
      <c r="C274" s="45"/>
      <c r="D274" s="43"/>
      <c r="E274" s="43"/>
      <c r="F274" s="43"/>
      <c r="G274" s="43"/>
      <c r="H274" s="43"/>
      <c r="I274" s="43"/>
      <c r="J274" s="43"/>
      <c r="K274" s="43"/>
      <c r="L274" s="43"/>
      <c r="M274" s="43"/>
      <c r="N274" s="43"/>
      <c r="O274" s="43"/>
      <c r="P274" s="43"/>
      <c r="Q274" s="43"/>
      <c r="R274" s="68"/>
      <c r="S274" s="68"/>
      <c r="T274" s="68"/>
      <c r="U274" s="68"/>
      <c r="V274" s="68"/>
      <c r="W274" s="68"/>
    </row>
    <row r="275">
      <c r="B275" s="68"/>
      <c r="C275" s="68"/>
      <c r="D275" s="68"/>
      <c r="E275" s="68"/>
      <c r="F275" s="68"/>
      <c r="G275" s="68"/>
      <c r="H275" s="68"/>
      <c r="I275" s="68"/>
      <c r="J275" s="68"/>
      <c r="K275" s="68"/>
      <c r="L275" s="68"/>
      <c r="M275" s="68"/>
      <c r="N275" s="68"/>
      <c r="O275" s="68"/>
      <c r="P275" s="68"/>
      <c r="Q275" s="68"/>
      <c r="R275" s="68"/>
      <c r="S275" s="68"/>
      <c r="T275" s="68"/>
      <c r="U275" s="68"/>
      <c r="V275" s="68"/>
      <c r="W275" s="68"/>
    </row>
    <row r="276">
      <c r="B276" s="68"/>
      <c r="C276" s="68"/>
      <c r="D276" s="68"/>
      <c r="E276" s="68"/>
      <c r="F276" s="68"/>
      <c r="G276" s="68"/>
      <c r="H276" s="68"/>
      <c r="I276" s="68"/>
      <c r="J276" s="68"/>
      <c r="K276" s="68"/>
      <c r="L276" s="68"/>
      <c r="M276" s="68"/>
      <c r="N276" s="68"/>
      <c r="O276" s="68"/>
      <c r="P276" s="68"/>
      <c r="Q276" s="68"/>
      <c r="R276" s="68"/>
      <c r="S276" s="68"/>
      <c r="T276" s="68"/>
      <c r="U276" s="68"/>
      <c r="V276" s="68"/>
      <c r="W276" s="68"/>
    </row>
    <row r="277">
      <c r="B277" s="114" t="s">
        <v>355</v>
      </c>
      <c r="C277" s="68"/>
      <c r="D277" s="369"/>
      <c r="E277" s="68"/>
      <c r="F277" s="68"/>
      <c r="G277" s="68"/>
      <c r="H277" s="68"/>
      <c r="I277" s="68"/>
      <c r="J277" s="114" t="s">
        <v>356</v>
      </c>
      <c r="K277" s="68"/>
      <c r="L277" s="68"/>
      <c r="M277" s="68"/>
      <c r="N277" s="68"/>
      <c r="O277" s="68"/>
      <c r="P277" s="68"/>
      <c r="Q277" s="68"/>
      <c r="R277" s="68"/>
      <c r="S277" s="68"/>
      <c r="T277" s="68"/>
      <c r="U277" s="68"/>
      <c r="V277" s="68"/>
      <c r="W277" s="68"/>
    </row>
    <row r="278">
      <c r="B278" s="114" t="s">
        <v>357</v>
      </c>
      <c r="C278" s="68"/>
      <c r="D278" s="369"/>
      <c r="E278" s="68"/>
      <c r="F278" s="68"/>
      <c r="G278" s="68"/>
      <c r="H278" s="68"/>
      <c r="I278" s="68"/>
      <c r="J278" s="114" t="s">
        <v>357</v>
      </c>
      <c r="K278" s="68"/>
      <c r="L278" s="68"/>
      <c r="M278" s="68"/>
      <c r="N278" s="68"/>
      <c r="O278" s="68"/>
      <c r="P278" s="68"/>
      <c r="Q278" s="114" t="s">
        <v>358</v>
      </c>
      <c r="R278" s="68"/>
      <c r="S278" s="68"/>
      <c r="T278" s="68"/>
      <c r="U278" s="68"/>
      <c r="V278" s="68"/>
      <c r="W278" s="68"/>
    </row>
    <row r="279">
      <c r="B279" s="114" t="s">
        <v>359</v>
      </c>
      <c r="C279" s="68"/>
      <c r="D279" s="68"/>
      <c r="E279" s="68"/>
      <c r="F279" s="68"/>
      <c r="G279" s="68"/>
      <c r="H279" s="68"/>
      <c r="I279" s="68"/>
      <c r="J279" s="114" t="s">
        <v>359</v>
      </c>
      <c r="K279" s="68"/>
      <c r="L279" s="68"/>
      <c r="M279" s="68"/>
      <c r="N279" s="68"/>
      <c r="O279" s="68"/>
      <c r="P279" s="68"/>
      <c r="Q279" s="114" t="s">
        <v>360</v>
      </c>
      <c r="R279" s="68"/>
      <c r="S279" s="68"/>
      <c r="T279" s="68"/>
      <c r="U279" s="68"/>
      <c r="V279" s="68"/>
      <c r="W279" s="68"/>
    </row>
    <row r="280">
      <c r="B280" s="370" t="s">
        <v>361</v>
      </c>
      <c r="C280" s="100" t="s">
        <v>362</v>
      </c>
      <c r="D280" s="101" t="s">
        <v>363</v>
      </c>
      <c r="E280" s="303" t="s">
        <v>364</v>
      </c>
      <c r="F280" s="303" t="s">
        <v>114</v>
      </c>
      <c r="G280" s="303" t="s">
        <v>114</v>
      </c>
      <c r="H280" s="101" t="s">
        <v>365</v>
      </c>
      <c r="I280" s="371"/>
      <c r="J280" s="100" t="s">
        <v>362</v>
      </c>
      <c r="K280" s="101" t="s">
        <v>363</v>
      </c>
      <c r="L280" s="303" t="s">
        <v>364</v>
      </c>
      <c r="M280" s="303" t="s">
        <v>114</v>
      </c>
      <c r="N280" s="303" t="s">
        <v>114</v>
      </c>
      <c r="O280" s="101" t="s">
        <v>365</v>
      </c>
      <c r="P280" s="371"/>
      <c r="Q280" s="100" t="s">
        <v>366</v>
      </c>
      <c r="R280" s="101" t="s">
        <v>367</v>
      </c>
      <c r="S280" s="101" t="s">
        <v>368</v>
      </c>
      <c r="T280" s="303" t="s">
        <v>114</v>
      </c>
      <c r="U280" s="303" t="s">
        <v>369</v>
      </c>
      <c r="V280" s="101" t="s">
        <v>365</v>
      </c>
      <c r="W280" s="371"/>
    </row>
    <row r="281">
      <c r="B281" s="372" t="s">
        <v>378</v>
      </c>
      <c r="C281" s="306" t="s">
        <v>379</v>
      </c>
      <c r="D281" s="111" t="s">
        <v>379</v>
      </c>
      <c r="E281" s="111" t="s">
        <v>380</v>
      </c>
      <c r="F281" s="110" t="s">
        <v>381</v>
      </c>
      <c r="G281" s="111" t="s">
        <v>361</v>
      </c>
      <c r="H281" s="111" t="s">
        <v>114</v>
      </c>
      <c r="I281" s="112" t="s">
        <v>382</v>
      </c>
      <c r="J281" s="306" t="s">
        <v>379</v>
      </c>
      <c r="K281" s="111" t="s">
        <v>379</v>
      </c>
      <c r="L281" s="111" t="s">
        <v>380</v>
      </c>
      <c r="M281" s="110" t="s">
        <v>381</v>
      </c>
      <c r="N281" s="111" t="s">
        <v>361</v>
      </c>
      <c r="O281" s="111" t="s">
        <v>114</v>
      </c>
      <c r="P281" s="112" t="s">
        <v>382</v>
      </c>
      <c r="Q281" s="306" t="s">
        <v>298</v>
      </c>
      <c r="R281" s="115" t="s">
        <v>383</v>
      </c>
      <c r="S281" s="111" t="s">
        <v>384</v>
      </c>
      <c r="T281" s="110" t="s">
        <v>381</v>
      </c>
      <c r="U281" s="111" t="s">
        <v>386</v>
      </c>
      <c r="V281" s="111" t="s">
        <v>114</v>
      </c>
      <c r="W281" s="112" t="s">
        <v>382</v>
      </c>
    </row>
    <row r="282">
      <c r="B282" s="372" t="s">
        <v>399</v>
      </c>
      <c r="C282" s="306" t="s">
        <v>400</v>
      </c>
      <c r="D282" s="111" t="s">
        <v>401</v>
      </c>
      <c r="E282" s="115" t="s">
        <v>402</v>
      </c>
      <c r="F282" s="111" t="s">
        <v>403</v>
      </c>
      <c r="G282" s="111" t="s">
        <v>404</v>
      </c>
      <c r="H282" s="110" t="s">
        <v>405</v>
      </c>
      <c r="I282" s="373"/>
      <c r="J282" s="306" t="s">
        <v>400</v>
      </c>
      <c r="K282" s="111" t="s">
        <v>401</v>
      </c>
      <c r="L282" s="115" t="s">
        <v>402</v>
      </c>
      <c r="M282" s="111" t="s">
        <v>403</v>
      </c>
      <c r="N282" s="111" t="s">
        <v>404</v>
      </c>
      <c r="O282" s="110" t="s">
        <v>405</v>
      </c>
      <c r="P282" s="373"/>
      <c r="Q282" s="306" t="s">
        <v>406</v>
      </c>
      <c r="R282" s="111" t="s">
        <v>407</v>
      </c>
      <c r="S282" s="111" t="s">
        <v>408</v>
      </c>
      <c r="T282" s="111" t="s">
        <v>403</v>
      </c>
      <c r="U282" s="111" t="s">
        <v>404</v>
      </c>
      <c r="V282" s="110" t="s">
        <v>405</v>
      </c>
      <c r="W282" s="373"/>
    </row>
    <row r="283">
      <c r="B283" s="372" t="s">
        <v>419</v>
      </c>
      <c r="C283" s="306" t="s">
        <v>346</v>
      </c>
      <c r="D283" s="111" t="s">
        <v>346</v>
      </c>
      <c r="E283" s="111" t="s">
        <v>420</v>
      </c>
      <c r="F283" s="375">
        <f>if('WAP for Y-AXIS Walls'!I245/'WAP for Y-AXIS Walls'!I244&lt;1,1,'WAP for Y-AXIS Walls'!I245/'WAP for Y-AXIS Walls'!I244)</f>
        <v>1</v>
      </c>
      <c r="G283" s="118"/>
      <c r="H283" s="118"/>
      <c r="I283" s="309"/>
      <c r="J283" s="306" t="s">
        <v>346</v>
      </c>
      <c r="K283" s="111" t="s">
        <v>346</v>
      </c>
      <c r="L283" s="111" t="s">
        <v>420</v>
      </c>
      <c r="M283" s="375">
        <f>if('WAP for Y-AXIS Walls'!I245/'WAP for Y-AXIS Walls'!I244&lt;1,1,'WAP for Y-AXIS Walls'!I245/'WAP for Y-AXIS Walls'!I244)</f>
        <v>1</v>
      </c>
      <c r="N283" s="118"/>
      <c r="O283" s="118"/>
      <c r="P283" s="309"/>
      <c r="Q283" s="113" t="s">
        <v>568</v>
      </c>
      <c r="R283" s="115" t="s">
        <v>422</v>
      </c>
      <c r="S283" s="115" t="s">
        <v>423</v>
      </c>
      <c r="T283" s="375">
        <f>if('WAP for Y-AXIS Walls'!I245/'WAP for Y-AXIS Walls'!I244&lt;1,1,'WAP for Y-AXIS Walls'!I245/'WAP for Y-AXIS Walls'!I244)</f>
        <v>1</v>
      </c>
      <c r="U283" s="118"/>
      <c r="V283" s="118"/>
      <c r="W283" s="309"/>
    </row>
    <row r="284">
      <c r="B284" s="376" t="s">
        <v>432</v>
      </c>
      <c r="C284" s="377" t="s">
        <v>569</v>
      </c>
      <c r="D284" s="378" t="s">
        <v>434</v>
      </c>
      <c r="E284" s="378" t="s">
        <v>435</v>
      </c>
      <c r="F284" s="478" t="s">
        <v>555</v>
      </c>
      <c r="G284" s="378" t="s">
        <v>570</v>
      </c>
      <c r="H284" s="380" t="s">
        <v>438</v>
      </c>
      <c r="I284" s="122"/>
      <c r="J284" s="377" t="s">
        <v>571</v>
      </c>
      <c r="K284" s="378" t="s">
        <v>434</v>
      </c>
      <c r="L284" s="378" t="s">
        <v>435</v>
      </c>
      <c r="M284" s="478" t="s">
        <v>555</v>
      </c>
      <c r="N284" s="378" t="s">
        <v>572</v>
      </c>
      <c r="O284" s="380" t="s">
        <v>438</v>
      </c>
      <c r="P284" s="120"/>
      <c r="Q284" s="377" t="s">
        <v>573</v>
      </c>
      <c r="R284" s="381" t="s">
        <v>574</v>
      </c>
      <c r="S284" s="380" t="s">
        <v>575</v>
      </c>
      <c r="T284" s="380" t="s">
        <v>509</v>
      </c>
      <c r="U284" s="379" t="s">
        <v>576</v>
      </c>
      <c r="V284" s="380" t="s">
        <v>577</v>
      </c>
      <c r="W284" s="122"/>
    </row>
    <row r="285">
      <c r="B285" s="382">
        <f>'WAP for X-AXIS Walls'!$I$234*'WAP for X-AXIS Walls'!$I$227*'WAP for X-AXIS Walls'!$I$228</f>
        <v>523.2648397</v>
      </c>
      <c r="C285" s="383">
        <f t="shared" ref="C285:C289" si="154">T237*$G$319*1000</f>
        <v>-0.03856309048</v>
      </c>
      <c r="D285" s="328">
        <f t="shared" ref="D285:D289" si="155">C285+$F$260</f>
        <v>3.949408969</v>
      </c>
      <c r="E285" s="384">
        <f t="shared" ref="E285:E289" si="156">D285/G237/1000</f>
        <v>0.001361865162</v>
      </c>
      <c r="F285" s="385">
        <f t="shared" ref="F285:F289" si="157">R237*D285/1000*$F$283</f>
        <v>15.76768626</v>
      </c>
      <c r="G285" s="385">
        <f>IF('WAP for X-AXIS Walls'!L196=0,0,F285/('WAP for X-AXIS Walls'!L196*'WAP for X-AXIS Walls'!$I$229))</f>
        <v>184.6117113</v>
      </c>
      <c r="H285" s="324">
        <f t="shared" ref="H285:H289" si="158">G285/B285</f>
        <v>0.352807407</v>
      </c>
      <c r="I285" s="386" t="str">
        <f t="shared" ref="I285:I289" si="159">if(H285&lt;=1,"OK","NG")</f>
        <v>OK</v>
      </c>
      <c r="J285" s="328">
        <f t="shared" ref="J285:J289" si="160">T237*$R$319*1000</f>
        <v>0.03856309048</v>
      </c>
      <c r="K285" s="328">
        <f t="shared" ref="K285:K289" si="161">J285+$F$260</f>
        <v>4.02653515</v>
      </c>
      <c r="L285" s="384">
        <f t="shared" ref="L285:L289" si="162">K285/G237/1000</f>
        <v>0.001388460397</v>
      </c>
      <c r="M285" s="385">
        <f t="shared" ref="M285:M289" si="163">R237*K285/1000*$M$283</f>
        <v>16.07560611</v>
      </c>
      <c r="N285" s="385">
        <f>IF('WAP for X-AXIS Walls'!L196=0,0,M285/('WAP for X-AXIS Walls'!L196*'WAP for X-AXIS Walls'!$I$229))</f>
        <v>188.216908</v>
      </c>
      <c r="O285" s="324">
        <f t="shared" ref="O285:O289" si="164">N285/B285</f>
        <v>0.3596972197</v>
      </c>
      <c r="P285" s="387" t="str">
        <f t="shared" ref="P285:P289" si="165">if(O285&lt;=1,"OK","NG")</f>
        <v>OK</v>
      </c>
      <c r="Q285" s="388"/>
      <c r="R285" s="328"/>
      <c r="S285" s="142">
        <f t="shared" ref="S285:S289" si="166">R237/$R$290</f>
        <v>0.1344950895</v>
      </c>
      <c r="T285" s="385">
        <f t="shared" ref="T285:T289" si="167">$Q$290*$R$317*S285*$T$283</f>
        <v>15.92164619</v>
      </c>
      <c r="U285" s="385">
        <f>IF('WAP for X-AXIS Walls'!L196=0,0,T285/('WAP for X-AXIS Walls'!L196*'WAP for X-AXIS Walls'!$I$229))</f>
        <v>186.4143096</v>
      </c>
      <c r="V285" s="324">
        <f t="shared" ref="V285:V289" si="168">U285/B285</f>
        <v>0.3562523134</v>
      </c>
      <c r="W285" s="386" t="str">
        <f t="shared" ref="W285:W286" si="169">if(V285&lt;=1,"OK","NG")</f>
        <v>OK</v>
      </c>
    </row>
    <row r="286">
      <c r="B286" s="382">
        <f>'WAP for X-AXIS Walls'!$I$234*'WAP for X-AXIS Walls'!$I$227*'WAP for X-AXIS Walls'!$I$228</f>
        <v>523.2648397</v>
      </c>
      <c r="C286" s="383">
        <f t="shared" si="154"/>
        <v>-0.03856309048</v>
      </c>
      <c r="D286" s="328">
        <f t="shared" si="155"/>
        <v>3.949408969</v>
      </c>
      <c r="E286" s="384">
        <f t="shared" si="156"/>
        <v>0.001361865162</v>
      </c>
      <c r="F286" s="385">
        <f t="shared" si="157"/>
        <v>42.8503879</v>
      </c>
      <c r="G286" s="385">
        <f>IF('WAP for X-AXIS Walls'!L197=0,0,F286/('WAP for X-AXIS Walls'!L197*'WAP for X-AXIS Walls'!$I$229))</f>
        <v>343.2699504</v>
      </c>
      <c r="H286" s="324">
        <f t="shared" si="158"/>
        <v>0.6560157005</v>
      </c>
      <c r="I286" s="386" t="str">
        <f t="shared" si="159"/>
        <v>OK</v>
      </c>
      <c r="J286" s="328">
        <f t="shared" si="160"/>
        <v>0.03856309048</v>
      </c>
      <c r="K286" s="328">
        <f t="shared" si="161"/>
        <v>4.02653515</v>
      </c>
      <c r="L286" s="384">
        <f t="shared" si="162"/>
        <v>0.001388460397</v>
      </c>
      <c r="M286" s="385">
        <f t="shared" si="163"/>
        <v>43.68719331</v>
      </c>
      <c r="N286" s="385">
        <f>IF('WAP for X-AXIS Walls'!L197=0,0,M286/('WAP for X-AXIS Walls'!L197*'WAP for X-AXIS Walls'!$I$229))</f>
        <v>349.9735104</v>
      </c>
      <c r="O286" s="324">
        <f t="shared" si="164"/>
        <v>0.6688267277</v>
      </c>
      <c r="P286" s="387" t="str">
        <f t="shared" si="165"/>
        <v>OK</v>
      </c>
      <c r="Q286" s="388"/>
      <c r="R286" s="328"/>
      <c r="S286" s="142">
        <f t="shared" si="166"/>
        <v>0.3655049105</v>
      </c>
      <c r="T286" s="385">
        <f t="shared" si="167"/>
        <v>43.26879061</v>
      </c>
      <c r="U286" s="385">
        <f>IF('WAP for X-AXIS Walls'!L197=0,0,T286/('WAP for X-AXIS Walls'!L197*'WAP for X-AXIS Walls'!$I$229))</f>
        <v>346.6217304</v>
      </c>
      <c r="V286" s="324">
        <f t="shared" si="168"/>
        <v>0.6624212141</v>
      </c>
      <c r="W286" s="386" t="str">
        <f t="shared" si="169"/>
        <v>OK</v>
      </c>
    </row>
    <row r="287">
      <c r="B287" s="382">
        <f>'WAP for X-AXIS Walls'!$I$234*'WAP for X-AXIS Walls'!$I$227*'WAP for X-AXIS Walls'!$I$228</f>
        <v>523.2648397</v>
      </c>
      <c r="C287" s="383">
        <f t="shared" si="154"/>
        <v>-0.03856309048</v>
      </c>
      <c r="D287" s="328">
        <f t="shared" si="155"/>
        <v>3.949408969</v>
      </c>
      <c r="E287" s="384">
        <f t="shared" si="156"/>
        <v>0.001361865162</v>
      </c>
      <c r="F287" s="385">
        <f t="shared" si="157"/>
        <v>0</v>
      </c>
      <c r="G287" s="385">
        <f>IF('WAP for X-AXIS Walls'!L198=0,0,F287/('WAP for X-AXIS Walls'!L198*'WAP for X-AXIS Walls'!$I$229))</f>
        <v>0</v>
      </c>
      <c r="H287" s="324">
        <f t="shared" si="158"/>
        <v>0</v>
      </c>
      <c r="I287" s="386" t="str">
        <f t="shared" si="159"/>
        <v>OK</v>
      </c>
      <c r="J287" s="328">
        <f t="shared" si="160"/>
        <v>0.03856309048</v>
      </c>
      <c r="K287" s="328">
        <f t="shared" si="161"/>
        <v>4.02653515</v>
      </c>
      <c r="L287" s="384">
        <f t="shared" si="162"/>
        <v>0.001388460397</v>
      </c>
      <c r="M287" s="385">
        <f t="shared" si="163"/>
        <v>0</v>
      </c>
      <c r="N287" s="385">
        <f>IF('WAP for X-AXIS Walls'!L198=0,0,M287/('WAP for X-AXIS Walls'!L198*'WAP for X-AXIS Walls'!$I$229))</f>
        <v>0</v>
      </c>
      <c r="O287" s="324">
        <f t="shared" si="164"/>
        <v>0</v>
      </c>
      <c r="P287" s="387" t="str">
        <f t="shared" si="165"/>
        <v>OK</v>
      </c>
      <c r="Q287" s="391"/>
      <c r="R287" s="385"/>
      <c r="S287" s="142">
        <f t="shared" si="166"/>
        <v>0</v>
      </c>
      <c r="T287" s="385">
        <f t="shared" si="167"/>
        <v>0</v>
      </c>
      <c r="U287" s="385">
        <f>IF('WAP for X-AXIS Walls'!L198=0,0,T287/('WAP for X-AXIS Walls'!L198*'WAP for X-AXIS Walls'!$I$229))</f>
        <v>0</v>
      </c>
      <c r="V287" s="324">
        <f t="shared" si="168"/>
        <v>0</v>
      </c>
      <c r="W287" s="145"/>
    </row>
    <row r="288">
      <c r="B288" s="382">
        <f>'WAP for X-AXIS Walls'!$I$234*'WAP for X-AXIS Walls'!$I$227*'WAP for X-AXIS Walls'!$I$228</f>
        <v>523.2648397</v>
      </c>
      <c r="C288" s="383">
        <f t="shared" si="154"/>
        <v>-0.03856309048</v>
      </c>
      <c r="D288" s="328">
        <f t="shared" si="155"/>
        <v>3.949408969</v>
      </c>
      <c r="E288" s="384">
        <f t="shared" si="156"/>
        <v>0.001361865162</v>
      </c>
      <c r="F288" s="385">
        <f t="shared" si="157"/>
        <v>42.8503879</v>
      </c>
      <c r="G288" s="385">
        <f>IF('WAP for X-AXIS Walls'!L199=0,0,F288/('WAP for X-AXIS Walls'!L199*'WAP for X-AXIS Walls'!$I$229))</f>
        <v>343.2699504</v>
      </c>
      <c r="H288" s="324">
        <f t="shared" si="158"/>
        <v>0.6560157005</v>
      </c>
      <c r="I288" s="386" t="str">
        <f t="shared" si="159"/>
        <v>OK</v>
      </c>
      <c r="J288" s="328">
        <f t="shared" si="160"/>
        <v>0.03856309048</v>
      </c>
      <c r="K288" s="328">
        <f t="shared" si="161"/>
        <v>4.02653515</v>
      </c>
      <c r="L288" s="384">
        <f t="shared" si="162"/>
        <v>0.001388460397</v>
      </c>
      <c r="M288" s="385">
        <f t="shared" si="163"/>
        <v>43.68719331</v>
      </c>
      <c r="N288" s="385">
        <f>IF('WAP for X-AXIS Walls'!L199=0,0,M288/('WAP for X-AXIS Walls'!L199*'WAP for X-AXIS Walls'!$I$229))</f>
        <v>349.9735104</v>
      </c>
      <c r="O288" s="324">
        <f t="shared" si="164"/>
        <v>0.6688267277</v>
      </c>
      <c r="P288" s="387" t="str">
        <f t="shared" si="165"/>
        <v>OK</v>
      </c>
      <c r="Q288" s="391"/>
      <c r="R288" s="385"/>
      <c r="S288" s="142">
        <f t="shared" si="166"/>
        <v>0.3655049105</v>
      </c>
      <c r="T288" s="385">
        <f t="shared" si="167"/>
        <v>43.26879061</v>
      </c>
      <c r="U288" s="385">
        <f>IF('WAP for X-AXIS Walls'!L199=0,0,T288/('WAP for X-AXIS Walls'!L199*'WAP for X-AXIS Walls'!$I$229))</f>
        <v>346.6217304</v>
      </c>
      <c r="V288" s="324">
        <f t="shared" si="168"/>
        <v>0.6624212141</v>
      </c>
      <c r="W288" s="386" t="str">
        <f>if(V288&lt;=1,"OK","NG")</f>
        <v>OK</v>
      </c>
    </row>
    <row r="289">
      <c r="B289" s="382">
        <f>'WAP for X-AXIS Walls'!$I$234*'WAP for X-AXIS Walls'!$I$227*'WAP for X-AXIS Walls'!$I$228</f>
        <v>523.2648397</v>
      </c>
      <c r="C289" s="383">
        <f t="shared" si="154"/>
        <v>-0.03856309048</v>
      </c>
      <c r="D289" s="328">
        <f t="shared" si="155"/>
        <v>3.949408969</v>
      </c>
      <c r="E289" s="384">
        <f t="shared" si="156"/>
        <v>0.001361865162</v>
      </c>
      <c r="F289" s="385">
        <f t="shared" si="157"/>
        <v>15.76768626</v>
      </c>
      <c r="G289" s="385">
        <f>IF('WAP for X-AXIS Walls'!L200=0,0,F289/('WAP for X-AXIS Walls'!L200*'WAP for X-AXIS Walls'!$I$229))</f>
        <v>184.6117113</v>
      </c>
      <c r="H289" s="324">
        <f t="shared" si="158"/>
        <v>0.352807407</v>
      </c>
      <c r="I289" s="386" t="str">
        <f t="shared" si="159"/>
        <v>OK</v>
      </c>
      <c r="J289" s="328">
        <f t="shared" si="160"/>
        <v>0.03856309048</v>
      </c>
      <c r="K289" s="328">
        <f t="shared" si="161"/>
        <v>4.02653515</v>
      </c>
      <c r="L289" s="384">
        <f t="shared" si="162"/>
        <v>0.001388460397</v>
      </c>
      <c r="M289" s="385">
        <f t="shared" si="163"/>
        <v>16.07560611</v>
      </c>
      <c r="N289" s="385">
        <f>IF('WAP for X-AXIS Walls'!L200=0,0,M289/('WAP for X-AXIS Walls'!L200*'WAP for X-AXIS Walls'!$I$229))</f>
        <v>188.216908</v>
      </c>
      <c r="O289" s="324">
        <f t="shared" si="164"/>
        <v>0.3596972197</v>
      </c>
      <c r="P289" s="387" t="str">
        <f t="shared" si="165"/>
        <v>OK</v>
      </c>
      <c r="Q289" s="391"/>
      <c r="R289" s="385"/>
      <c r="S289" s="142">
        <f t="shared" si="166"/>
        <v>0.1344950895</v>
      </c>
      <c r="T289" s="385">
        <f t="shared" si="167"/>
        <v>15.92164619</v>
      </c>
      <c r="U289" s="385">
        <f>IF('WAP for X-AXIS Walls'!L200=0,0,T289/('WAP for X-AXIS Walls'!L200*'WAP for X-AXIS Walls'!$I$229))</f>
        <v>186.4143096</v>
      </c>
      <c r="V289" s="324">
        <f t="shared" si="168"/>
        <v>0.3562523134</v>
      </c>
      <c r="W289" s="145"/>
    </row>
    <row r="290">
      <c r="B290" s="382"/>
      <c r="C290" s="383"/>
      <c r="D290" s="328"/>
      <c r="E290" s="384"/>
      <c r="F290" s="385"/>
      <c r="G290" s="385"/>
      <c r="H290" s="324"/>
      <c r="I290" s="386"/>
      <c r="J290" s="328"/>
      <c r="K290" s="328"/>
      <c r="L290" s="384"/>
      <c r="M290" s="385"/>
      <c r="N290" s="385"/>
      <c r="O290" s="324"/>
      <c r="P290" s="387"/>
      <c r="Q290" s="391">
        <f>'WAP for X-AXIS Walls'!O201/'WAP for X-AXIS Walls'!O209</f>
        <v>0.5</v>
      </c>
      <c r="R290" s="385">
        <f>SUM(R237:R241)</f>
        <v>29684.47918</v>
      </c>
      <c r="S290" s="142"/>
      <c r="T290" s="385"/>
      <c r="U290" s="385"/>
      <c r="V290" s="324"/>
      <c r="W290" s="386"/>
    </row>
    <row r="291">
      <c r="B291" s="382">
        <f>'WAP for X-AXIS Walls'!$I$234*'WAP for X-AXIS Walls'!$I$227*'WAP for X-AXIS Walls'!$I$228</f>
        <v>523.2648397</v>
      </c>
      <c r="C291" s="383">
        <f t="shared" ref="C291:C295" si="170">T243*$G$319*1000</f>
        <v>0.03856309048</v>
      </c>
      <c r="D291" s="328">
        <f t="shared" ref="D291:D295" si="171">C291+$F$260</f>
        <v>4.02653515</v>
      </c>
      <c r="E291" s="384">
        <f t="shared" ref="E291:E295" si="172">D291/G243/1000</f>
        <v>0.001388460397</v>
      </c>
      <c r="F291" s="385">
        <f t="shared" ref="F291:F295" si="173">R243*D291/1000*$F$283</f>
        <v>16.07560611</v>
      </c>
      <c r="G291" s="385">
        <f>IF('WAP for X-AXIS Walls'!L202=0,0,F291/('WAP for X-AXIS Walls'!L202*'WAP for X-AXIS Walls'!$I$229))</f>
        <v>188.216908</v>
      </c>
      <c r="H291" s="324">
        <f t="shared" ref="H291:H295" si="174">G291/B291</f>
        <v>0.3596972197</v>
      </c>
      <c r="I291" s="386" t="str">
        <f t="shared" ref="I291:I295" si="175">if(H291&lt;=1,"OK","NG")</f>
        <v>OK</v>
      </c>
      <c r="J291" s="328">
        <f t="shared" ref="J291:J295" si="176">T243*$R$319*1000</f>
        <v>-0.03856309048</v>
      </c>
      <c r="K291" s="328">
        <f t="shared" ref="K291:K295" si="177">J291+$F$260</f>
        <v>3.949408969</v>
      </c>
      <c r="L291" s="384">
        <f t="shared" ref="L291:L295" si="178">K291/G243/1000</f>
        <v>0.001361865162</v>
      </c>
      <c r="M291" s="385">
        <f t="shared" ref="M291:M295" si="179">R243*K291/1000*$M$283</f>
        <v>15.76768626</v>
      </c>
      <c r="N291" s="385">
        <f>IF('WAP for X-AXIS Walls'!L202=0,0,M291/('WAP for X-AXIS Walls'!L202*'WAP for X-AXIS Walls'!$I$229))</f>
        <v>184.6117113</v>
      </c>
      <c r="O291" s="324">
        <f t="shared" ref="O291:O295" si="180">N291/B291</f>
        <v>0.352807407</v>
      </c>
      <c r="P291" s="387" t="str">
        <f t="shared" ref="P291:P295" si="181">if(O291&lt;=1,"OK","NG")</f>
        <v>OK</v>
      </c>
      <c r="Q291" s="391"/>
      <c r="R291" s="385" t="str">
        <f>R242</f>
        <v/>
      </c>
      <c r="S291" s="143">
        <f t="shared" ref="S291:S295" si="182">R243/$R$296</f>
        <v>0.1344950895</v>
      </c>
      <c r="T291" s="385">
        <f t="shared" ref="T291:T295" si="183">$Q$296*$R$317*S291*$T$283</f>
        <v>15.92164619</v>
      </c>
      <c r="U291" s="385">
        <f>IF('WAP for X-AXIS Walls'!L202=0,0,T291/('WAP for X-AXIS Walls'!L202*'WAP for X-AXIS Walls'!$I$229))</f>
        <v>186.4143096</v>
      </c>
      <c r="V291" s="324">
        <f t="shared" ref="V291:V295" si="184">U291/B291</f>
        <v>0.3562523134</v>
      </c>
      <c r="W291" s="145"/>
    </row>
    <row r="292">
      <c r="B292" s="382">
        <f>'WAP for X-AXIS Walls'!$I$234*'WAP for X-AXIS Walls'!$I$227*'WAP for X-AXIS Walls'!$I$228</f>
        <v>523.2648397</v>
      </c>
      <c r="C292" s="383">
        <f t="shared" si="170"/>
        <v>0.03856309048</v>
      </c>
      <c r="D292" s="328">
        <f t="shared" si="171"/>
        <v>4.02653515</v>
      </c>
      <c r="E292" s="384">
        <f t="shared" si="172"/>
        <v>0.001388460397</v>
      </c>
      <c r="F292" s="385">
        <f t="shared" si="173"/>
        <v>43.68719331</v>
      </c>
      <c r="G292" s="385">
        <f>IF('WAP for X-AXIS Walls'!L203=0,0,F292/('WAP for X-AXIS Walls'!L203*'WAP for X-AXIS Walls'!$I$229))</f>
        <v>349.9735104</v>
      </c>
      <c r="H292" s="324">
        <f t="shared" si="174"/>
        <v>0.6688267277</v>
      </c>
      <c r="I292" s="386" t="str">
        <f t="shared" si="175"/>
        <v>OK</v>
      </c>
      <c r="J292" s="328">
        <f t="shared" si="176"/>
        <v>-0.03856309048</v>
      </c>
      <c r="K292" s="328">
        <f t="shared" si="177"/>
        <v>3.949408969</v>
      </c>
      <c r="L292" s="384">
        <f t="shared" si="178"/>
        <v>0.001361865162</v>
      </c>
      <c r="M292" s="385">
        <f t="shared" si="179"/>
        <v>42.8503879</v>
      </c>
      <c r="N292" s="385">
        <f>IF('WAP for X-AXIS Walls'!L203=0,0,M292/('WAP for X-AXIS Walls'!L203*'WAP for X-AXIS Walls'!$I$229))</f>
        <v>343.2699504</v>
      </c>
      <c r="O292" s="324">
        <f t="shared" si="180"/>
        <v>0.6560157005</v>
      </c>
      <c r="P292" s="387" t="str">
        <f t="shared" si="181"/>
        <v>OK</v>
      </c>
      <c r="Q292" s="391"/>
      <c r="R292" s="385"/>
      <c r="S292" s="143">
        <f t="shared" si="182"/>
        <v>0.3655049105</v>
      </c>
      <c r="T292" s="385">
        <f t="shared" si="183"/>
        <v>43.26879061</v>
      </c>
      <c r="U292" s="385">
        <f>IF('WAP for X-AXIS Walls'!L203=0,0,T292/('WAP for X-AXIS Walls'!L203*'WAP for X-AXIS Walls'!$I$229))</f>
        <v>346.6217304</v>
      </c>
      <c r="V292" s="324">
        <f t="shared" si="184"/>
        <v>0.6624212141</v>
      </c>
      <c r="W292" s="386" t="str">
        <f>if(V292&lt;=1,"OK","NG")</f>
        <v>OK</v>
      </c>
    </row>
    <row r="293">
      <c r="B293" s="382">
        <f>'WAP for X-AXIS Walls'!$I$234*'WAP for X-AXIS Walls'!$I$227*'WAP for X-AXIS Walls'!$I$228</f>
        <v>523.2648397</v>
      </c>
      <c r="C293" s="383">
        <f t="shared" si="170"/>
        <v>0.03856309048</v>
      </c>
      <c r="D293" s="328">
        <f t="shared" si="171"/>
        <v>4.02653515</v>
      </c>
      <c r="E293" s="384">
        <f t="shared" si="172"/>
        <v>0.001388460397</v>
      </c>
      <c r="F293" s="385">
        <f t="shared" si="173"/>
        <v>0</v>
      </c>
      <c r="G293" s="385">
        <f>IF('WAP for X-AXIS Walls'!L204=0,0,F293/('WAP for X-AXIS Walls'!L204*'WAP for X-AXIS Walls'!$I$229))</f>
        <v>0</v>
      </c>
      <c r="H293" s="324">
        <f t="shared" si="174"/>
        <v>0</v>
      </c>
      <c r="I293" s="386" t="str">
        <f t="shared" si="175"/>
        <v>OK</v>
      </c>
      <c r="J293" s="328">
        <f t="shared" si="176"/>
        <v>-0.03856309048</v>
      </c>
      <c r="K293" s="328">
        <f t="shared" si="177"/>
        <v>3.949408969</v>
      </c>
      <c r="L293" s="384">
        <f t="shared" si="178"/>
        <v>0.001361865162</v>
      </c>
      <c r="M293" s="385">
        <f t="shared" si="179"/>
        <v>0</v>
      </c>
      <c r="N293" s="385">
        <f>IF('WAP for X-AXIS Walls'!L204=0,0,M293/('WAP for X-AXIS Walls'!L204*'WAP for X-AXIS Walls'!$I$229))</f>
        <v>0</v>
      </c>
      <c r="O293" s="324">
        <f t="shared" si="180"/>
        <v>0</v>
      </c>
      <c r="P293" s="387" t="str">
        <f t="shared" si="181"/>
        <v>OK</v>
      </c>
      <c r="Q293" s="391"/>
      <c r="R293" s="385"/>
      <c r="S293" s="143">
        <f t="shared" si="182"/>
        <v>0</v>
      </c>
      <c r="T293" s="385">
        <f t="shared" si="183"/>
        <v>0</v>
      </c>
      <c r="U293" s="385">
        <f>IF('WAP for X-AXIS Walls'!L204=0,0,T293/('WAP for X-AXIS Walls'!L204*'WAP for X-AXIS Walls'!$I$229))</f>
        <v>0</v>
      </c>
      <c r="V293" s="324">
        <f t="shared" si="184"/>
        <v>0</v>
      </c>
      <c r="W293" s="145"/>
    </row>
    <row r="294">
      <c r="B294" s="382">
        <f>'WAP for X-AXIS Walls'!$I$234*'WAP for X-AXIS Walls'!$I$227*'WAP for X-AXIS Walls'!$I$228</f>
        <v>523.2648397</v>
      </c>
      <c r="C294" s="383">
        <f t="shared" si="170"/>
        <v>0.03856309048</v>
      </c>
      <c r="D294" s="328">
        <f t="shared" si="171"/>
        <v>4.02653515</v>
      </c>
      <c r="E294" s="384">
        <f t="shared" si="172"/>
        <v>0.001388460397</v>
      </c>
      <c r="F294" s="385">
        <f t="shared" si="173"/>
        <v>43.68719331</v>
      </c>
      <c r="G294" s="385">
        <f>IF('WAP for X-AXIS Walls'!L205=0,0,F294/('WAP for X-AXIS Walls'!L205*'WAP for X-AXIS Walls'!$I$229))</f>
        <v>349.9735104</v>
      </c>
      <c r="H294" s="324">
        <f t="shared" si="174"/>
        <v>0.6688267277</v>
      </c>
      <c r="I294" s="386" t="str">
        <f t="shared" si="175"/>
        <v>OK</v>
      </c>
      <c r="J294" s="328">
        <f t="shared" si="176"/>
        <v>-0.03856309048</v>
      </c>
      <c r="K294" s="328">
        <f t="shared" si="177"/>
        <v>3.949408969</v>
      </c>
      <c r="L294" s="384">
        <f t="shared" si="178"/>
        <v>0.001361865162</v>
      </c>
      <c r="M294" s="385">
        <f t="shared" si="179"/>
        <v>42.8503879</v>
      </c>
      <c r="N294" s="385">
        <f>IF('WAP for X-AXIS Walls'!L205=0,0,M294/('WAP for X-AXIS Walls'!L205*'WAP for X-AXIS Walls'!$I$229))</f>
        <v>343.2699504</v>
      </c>
      <c r="O294" s="324">
        <f t="shared" si="180"/>
        <v>0.6560157005</v>
      </c>
      <c r="P294" s="387" t="str">
        <f t="shared" si="181"/>
        <v>OK</v>
      </c>
      <c r="Q294" s="391"/>
      <c r="R294" s="385"/>
      <c r="S294" s="143">
        <f t="shared" si="182"/>
        <v>0.3655049105</v>
      </c>
      <c r="T294" s="385">
        <f t="shared" si="183"/>
        <v>43.26879061</v>
      </c>
      <c r="U294" s="385">
        <f>IF('WAP for X-AXIS Walls'!L205=0,0,T294/('WAP for X-AXIS Walls'!L205*'WAP for X-AXIS Walls'!$I$229))</f>
        <v>346.6217304</v>
      </c>
      <c r="V294" s="324">
        <f t="shared" si="184"/>
        <v>0.6624212141</v>
      </c>
      <c r="W294" s="386" t="str">
        <f t="shared" ref="W294:W295" si="185">if(V294&lt;=1,"OK","NG")</f>
        <v>OK</v>
      </c>
    </row>
    <row r="295">
      <c r="B295" s="382">
        <f>'WAP for X-AXIS Walls'!$I$234*'WAP for X-AXIS Walls'!$I$227*'WAP for X-AXIS Walls'!$I$228</f>
        <v>523.2648397</v>
      </c>
      <c r="C295" s="383">
        <f t="shared" si="170"/>
        <v>0.03856309048</v>
      </c>
      <c r="D295" s="328">
        <f t="shared" si="171"/>
        <v>4.02653515</v>
      </c>
      <c r="E295" s="384">
        <f t="shared" si="172"/>
        <v>0.001388460397</v>
      </c>
      <c r="F295" s="385">
        <f t="shared" si="173"/>
        <v>16.07560611</v>
      </c>
      <c r="G295" s="385">
        <f>IF('WAP for X-AXIS Walls'!L206=0,0,F295/('WAP for X-AXIS Walls'!L206*'WAP for X-AXIS Walls'!$I$229))</f>
        <v>188.216908</v>
      </c>
      <c r="H295" s="324">
        <f t="shared" si="174"/>
        <v>0.3596972197</v>
      </c>
      <c r="I295" s="386" t="str">
        <f t="shared" si="175"/>
        <v>OK</v>
      </c>
      <c r="J295" s="328">
        <f t="shared" si="176"/>
        <v>-0.03856309048</v>
      </c>
      <c r="K295" s="328">
        <f t="shared" si="177"/>
        <v>3.949408969</v>
      </c>
      <c r="L295" s="384">
        <f t="shared" si="178"/>
        <v>0.001361865162</v>
      </c>
      <c r="M295" s="385">
        <f t="shared" si="179"/>
        <v>15.76768626</v>
      </c>
      <c r="N295" s="385">
        <f>IF('WAP for X-AXIS Walls'!L206=0,0,M295/('WAP for X-AXIS Walls'!L206*'WAP for X-AXIS Walls'!$I$229))</f>
        <v>184.6117113</v>
      </c>
      <c r="O295" s="324">
        <f t="shared" si="180"/>
        <v>0.352807407</v>
      </c>
      <c r="P295" s="387" t="str">
        <f t="shared" si="181"/>
        <v>OK</v>
      </c>
      <c r="Q295" s="391"/>
      <c r="R295" s="385"/>
      <c r="S295" s="143">
        <f t="shared" si="182"/>
        <v>0.1344950895</v>
      </c>
      <c r="T295" s="385">
        <f t="shared" si="183"/>
        <v>15.92164619</v>
      </c>
      <c r="U295" s="385">
        <f>IF('WAP for X-AXIS Walls'!L206=0,0,T295/('WAP for X-AXIS Walls'!L206*'WAP for X-AXIS Walls'!$I$229))</f>
        <v>186.4143096</v>
      </c>
      <c r="V295" s="324">
        <f t="shared" si="184"/>
        <v>0.3562523134</v>
      </c>
      <c r="W295" s="386" t="str">
        <f t="shared" si="185"/>
        <v>OK</v>
      </c>
    </row>
    <row r="296">
      <c r="B296" s="392"/>
      <c r="C296" s="383"/>
      <c r="D296" s="328"/>
      <c r="E296" s="82"/>
      <c r="F296" s="393"/>
      <c r="G296" s="82"/>
      <c r="H296" s="82"/>
      <c r="I296" s="145"/>
      <c r="J296" s="328"/>
      <c r="K296" s="82"/>
      <c r="L296" s="82"/>
      <c r="M296" s="393"/>
      <c r="N296" s="82"/>
      <c r="O296" s="82"/>
      <c r="P296" s="82"/>
      <c r="Q296" s="391">
        <f>'WAP for X-AXIS Walls'!O207/'WAP for X-AXIS Walls'!O209</f>
        <v>0.5</v>
      </c>
      <c r="R296" s="385">
        <f>SUM(R243:R247)</f>
        <v>29684.47918</v>
      </c>
      <c r="S296" s="143"/>
      <c r="T296" s="393"/>
      <c r="U296" s="82"/>
      <c r="V296" s="82"/>
      <c r="W296" s="145"/>
    </row>
    <row r="297">
      <c r="B297" s="392"/>
      <c r="C297" s="345"/>
      <c r="D297" s="127"/>
      <c r="E297" s="127"/>
      <c r="F297" s="394"/>
      <c r="G297" s="127"/>
      <c r="H297" s="127"/>
      <c r="I297" s="128"/>
      <c r="J297" s="347"/>
      <c r="K297" s="347"/>
      <c r="L297" s="127"/>
      <c r="M297" s="394"/>
      <c r="N297" s="347"/>
      <c r="O297" s="127"/>
      <c r="P297" s="127"/>
      <c r="Q297" s="395"/>
      <c r="R297" s="127"/>
      <c r="S297" s="170"/>
      <c r="T297" s="394"/>
      <c r="U297" s="127"/>
      <c r="V297" s="127"/>
      <c r="W297" s="128"/>
    </row>
    <row r="298">
      <c r="B298" s="396"/>
      <c r="C298" s="397"/>
      <c r="D298" s="347">
        <f>(min(D285:D297)+max(D285:D297))/2</f>
        <v>3.98797206</v>
      </c>
      <c r="E298" s="315" t="s">
        <v>449</v>
      </c>
      <c r="F298" s="394">
        <f>sum(F285:F297)</f>
        <v>236.7617472</v>
      </c>
      <c r="G298" s="394">
        <f>F298/ 'WAP for X-AXIS Walls'!L209/'WAP for X-AXIS Walls'!I229</f>
        <v>281.5374657</v>
      </c>
      <c r="H298" s="347">
        <f>G298/G299</f>
        <v>0.8070601473</v>
      </c>
      <c r="I298" s="128" t="str">
        <f>if(H298&lt;=1,"OK","NG")</f>
        <v>OK</v>
      </c>
      <c r="J298" s="398"/>
      <c r="K298" s="347">
        <f>(min(K285:K297)+max(K285:K297))/2</f>
        <v>3.98797206</v>
      </c>
      <c r="L298" s="399" t="s">
        <v>449</v>
      </c>
      <c r="M298" s="394">
        <f>sum(M285:M297)</f>
        <v>236.7617472</v>
      </c>
      <c r="N298" s="394">
        <f>M298/ 'WAP for X-AXIS Walls'!L209/'WAP for X-AXIS Walls'!I229</f>
        <v>281.5374657</v>
      </c>
      <c r="O298" s="347">
        <f>N298/N299</f>
        <v>0.8070601473</v>
      </c>
      <c r="P298" s="127" t="str">
        <f>if(O298&lt;=1,"OK","NG")</f>
        <v>OK</v>
      </c>
      <c r="Q298" s="400">
        <f t="shared" ref="Q298:R298" si="186">sum(Q285:Q297)</f>
        <v>1</v>
      </c>
      <c r="R298" s="401">
        <f t="shared" si="186"/>
        <v>59368.95836</v>
      </c>
      <c r="S298" s="402"/>
      <c r="T298" s="394">
        <f>sum(T285:T297)</f>
        <v>236.7617472</v>
      </c>
      <c r="U298" s="394">
        <f>T298/'WAP for X-AXIS Walls'!L209/'WAP for X-AXIS Walls'!I229*'WAP for X-AXIS Walls'!I235</f>
        <v>422.3061986</v>
      </c>
      <c r="V298" s="347">
        <f>U298/U299</f>
        <v>0.8070601473</v>
      </c>
      <c r="W298" s="128" t="str">
        <f t="shared" ref="W298:W301" si="187">if(V298&lt;=1,"OK","NG")</f>
        <v>OK</v>
      </c>
    </row>
    <row r="299">
      <c r="B299" s="327"/>
      <c r="D299" s="447">
        <f>max(D285:D297)</f>
        <v>4.02653515</v>
      </c>
      <c r="E299" s="76" t="s">
        <v>450</v>
      </c>
      <c r="F299" s="393">
        <f>'WAP for X-AXIS Walls'!I239*F283</f>
        <v>236.7617472</v>
      </c>
      <c r="G299" s="393">
        <f>'WAP for X-AXIS Walls'!I234*'WAP for X-AXIS Walls'!I227/'WAP for X-AXIS Walls'!I235*'WAP for X-AXIS Walls'!I228</f>
        <v>348.8432264</v>
      </c>
      <c r="H299" s="408">
        <f>'WAP for X-AXIS Walls'!I248</f>
        <v>0.8070601473</v>
      </c>
      <c r="I299" s="68"/>
      <c r="J299" s="68"/>
      <c r="K299" s="447">
        <f>max(K285:K297)</f>
        <v>4.02653515</v>
      </c>
      <c r="L299" s="406" t="s">
        <v>450</v>
      </c>
      <c r="M299" s="393">
        <f>'WAP for X-AXIS Walls'!I239*M283</f>
        <v>236.7617472</v>
      </c>
      <c r="N299" s="393">
        <f>'WAP for X-AXIS Walls'!I234*'WAP for X-AXIS Walls'!I227/'WAP for X-AXIS Walls'!I235*'WAP for X-AXIS Walls'!I228</f>
        <v>348.8432264</v>
      </c>
      <c r="O299" s="408">
        <f>'WAP for X-AXIS Walls'!I248</f>
        <v>0.8070601473</v>
      </c>
      <c r="P299" s="71" t="s">
        <v>451</v>
      </c>
      <c r="Q299" s="387"/>
      <c r="R299" s="68"/>
      <c r="S299" s="77" t="s">
        <v>452</v>
      </c>
      <c r="T299" s="393">
        <f>T298/'WAP for X-AXIS Walls'!L209/'WAP for X-AXIS Walls'!I229</f>
        <v>281.5374657</v>
      </c>
      <c r="U299" s="407">
        <f>'WAP for X-AXIS Walls'!I234*'WAP for X-AXIS Walls'!I227*'WAP for X-AXIS Walls'!I228</f>
        <v>523.2648397</v>
      </c>
      <c r="V299" s="408">
        <f>T299/U299</f>
        <v>0.5380400982</v>
      </c>
      <c r="W299" s="407" t="str">
        <f t="shared" si="187"/>
        <v>OK</v>
      </c>
    </row>
    <row r="300">
      <c r="B300" s="68"/>
      <c r="D300" s="328">
        <f>D299/D298</f>
        <v>1.00966985</v>
      </c>
      <c r="E300" s="80" t="s">
        <v>453</v>
      </c>
      <c r="F300" s="68"/>
      <c r="G300" s="410"/>
      <c r="H300" s="328">
        <f>MAX(H285:H297)</f>
        <v>0.6688267277</v>
      </c>
      <c r="I300" s="68"/>
      <c r="J300" s="68"/>
      <c r="K300" s="328">
        <f>K299/K298</f>
        <v>1.00966985</v>
      </c>
      <c r="L300" s="80" t="s">
        <v>453</v>
      </c>
      <c r="M300" s="68"/>
      <c r="N300" s="410"/>
      <c r="O300" s="328">
        <f>MAX(O285:O297)</f>
        <v>0.6688267277</v>
      </c>
      <c r="P300" s="68"/>
      <c r="Q300" s="328"/>
      <c r="R300" s="68"/>
      <c r="S300" s="68"/>
      <c r="T300" s="68"/>
      <c r="U300" s="68"/>
      <c r="V300" s="408">
        <f>'WAP for X-AXIS Walls'!I248</f>
        <v>0.8070601473</v>
      </c>
      <c r="W300" s="407" t="str">
        <f t="shared" si="187"/>
        <v>OK</v>
      </c>
    </row>
    <row r="301">
      <c r="B301" s="82"/>
      <c r="D301" s="97">
        <f>min(max(1,(D299/1.2/D298)^2),3)</f>
        <v>1</v>
      </c>
      <c r="E301" s="71" t="s">
        <v>454</v>
      </c>
      <c r="F301" s="68"/>
      <c r="G301" s="68"/>
      <c r="H301" s="68"/>
      <c r="I301" s="68"/>
      <c r="J301" s="68"/>
      <c r="K301" s="97">
        <f>min(max(1,(K299/1.2/K298)^2),3)</f>
        <v>1</v>
      </c>
      <c r="L301" s="71" t="s">
        <v>454</v>
      </c>
      <c r="M301" s="68"/>
      <c r="N301" s="114"/>
      <c r="O301" s="68"/>
      <c r="P301" s="68"/>
      <c r="Q301" s="68"/>
      <c r="R301" s="68"/>
      <c r="S301" s="68"/>
      <c r="T301" s="68"/>
      <c r="U301" s="68"/>
      <c r="V301" s="97">
        <f>max(V285:V297)</f>
        <v>0.6624212141</v>
      </c>
      <c r="W301" s="407" t="str">
        <f t="shared" si="187"/>
        <v>OK</v>
      </c>
    </row>
    <row r="302">
      <c r="B302" s="82"/>
      <c r="D302" s="82"/>
      <c r="E302" s="71" t="s">
        <v>455</v>
      </c>
      <c r="F302" s="68"/>
      <c r="G302" s="68"/>
      <c r="H302" s="68"/>
      <c r="I302" s="68"/>
      <c r="J302" s="68"/>
      <c r="K302" s="328"/>
      <c r="L302" s="71" t="s">
        <v>455</v>
      </c>
      <c r="M302" s="68"/>
      <c r="N302" s="114"/>
      <c r="O302" s="68"/>
      <c r="P302" s="68"/>
      <c r="Q302" s="68"/>
      <c r="R302" s="68"/>
      <c r="S302" s="68"/>
      <c r="T302" s="68"/>
      <c r="U302" s="68"/>
      <c r="V302" s="68"/>
      <c r="W302" s="68"/>
    </row>
    <row r="303">
      <c r="B303" s="82"/>
      <c r="C303" s="411"/>
      <c r="D303" s="406"/>
      <c r="E303" s="412" t="str">
        <f>if(D300&lt;1,"ERROR &lt;1",if(D300&lt;=1.2,"Pas d'irrégularité torsionnelle, Max/Moy &lt;1.2",if(D300&lt;=1.4,"Torsional Irregularity 1a, Max/Avg=1.2-1.4","Extreme Torsional Irregularity 1b, Max/Avg&gt;1.4")))</f>
        <v>Pas d'irrégularité torsionnelle, Max/Moy &lt;1.2</v>
      </c>
      <c r="F303" s="114" t="s">
        <v>456</v>
      </c>
      <c r="G303" s="114"/>
      <c r="H303" s="68"/>
      <c r="I303" s="68"/>
      <c r="J303" s="411"/>
      <c r="K303" s="68"/>
      <c r="L303" s="68"/>
      <c r="M303" s="68"/>
      <c r="N303" s="412" t="str">
        <f>if(K300&lt;1,"ERROR &lt;1",if(K300&lt;=1.2,"Pas d'irrégularité torsionnelle, Max/Moy &lt;1.2",if(K300&lt;=1.4,"Torsional Irregularity 1a, Max/Avg=1.2-1.4","Extreme Torsional Irregularity 1b, Max/Avg&gt;1.4")))</f>
        <v>Pas d'irrégularité torsionnelle, Max/Moy &lt;1.2</v>
      </c>
      <c r="O303" s="114" t="s">
        <v>456</v>
      </c>
      <c r="P303" s="68"/>
      <c r="Q303" s="68"/>
      <c r="R303" s="68"/>
      <c r="S303" s="68"/>
      <c r="T303" s="68"/>
      <c r="U303" s="68"/>
      <c r="V303" s="68"/>
      <c r="W303" s="68"/>
    </row>
    <row r="304">
      <c r="B304" s="82"/>
      <c r="C304" s="68"/>
      <c r="D304" s="68"/>
      <c r="E304" s="414"/>
      <c r="F304" s="406"/>
      <c r="G304" s="68"/>
      <c r="H304" s="68"/>
      <c r="I304" s="68"/>
      <c r="J304" s="68"/>
      <c r="K304" s="68"/>
      <c r="L304" s="68"/>
      <c r="M304" s="410"/>
      <c r="N304" s="415"/>
      <c r="O304" s="68"/>
      <c r="P304" s="68"/>
      <c r="Q304" s="410"/>
      <c r="R304" s="410"/>
      <c r="S304" s="410"/>
      <c r="T304" s="68"/>
      <c r="U304" s="68"/>
      <c r="V304" s="68"/>
      <c r="W304" s="68"/>
    </row>
    <row r="305">
      <c r="F305" s="416" t="s">
        <v>457</v>
      </c>
      <c r="G305" s="417">
        <f>if(and('WAP for X-AXIS Walls'!D183="Light",'WAP for X-AXIS Walls'!E181="Top Level"),0.05,0.05)</f>
        <v>0.05</v>
      </c>
      <c r="H305" s="71" t="s">
        <v>458</v>
      </c>
      <c r="I305" s="68"/>
      <c r="J305" s="68"/>
      <c r="L305" s="68"/>
      <c r="O305" s="68"/>
      <c r="Q305" s="416" t="s">
        <v>457</v>
      </c>
      <c r="R305" s="417">
        <f>if(and('WAP for X-AXIS Walls'!D183="Light",'WAP for X-AXIS Walls'!E181="Top Level"),0.05,0.05)</f>
        <v>0.05</v>
      </c>
      <c r="S305" s="71" t="s">
        <v>458</v>
      </c>
      <c r="T305" s="68"/>
      <c r="U305" s="68"/>
      <c r="V305" s="68"/>
      <c r="W305" s="68"/>
    </row>
    <row r="306">
      <c r="F306" s="416" t="s">
        <v>460</v>
      </c>
      <c r="G306" s="75">
        <v>1.0</v>
      </c>
      <c r="H306" s="71" t="s">
        <v>461</v>
      </c>
      <c r="I306" s="68"/>
      <c r="J306" s="68"/>
      <c r="L306" s="68"/>
      <c r="O306" s="68"/>
      <c r="Q306" s="416" t="s">
        <v>460</v>
      </c>
      <c r="R306" s="75">
        <v>1.0</v>
      </c>
      <c r="S306" s="71" t="s">
        <v>461</v>
      </c>
      <c r="T306" s="68"/>
      <c r="U306" s="68"/>
      <c r="V306" s="68"/>
      <c r="W306" s="68"/>
    </row>
    <row r="307">
      <c r="F307" s="416" t="s">
        <v>457</v>
      </c>
      <c r="G307" s="418">
        <f>G305*G306</f>
        <v>0.05</v>
      </c>
      <c r="H307" s="80" t="s">
        <v>463</v>
      </c>
      <c r="I307" s="43"/>
      <c r="J307" s="68"/>
      <c r="L307" s="68"/>
      <c r="O307" s="68"/>
      <c r="Q307" s="416" t="s">
        <v>457</v>
      </c>
      <c r="R307" s="418">
        <f>R305*R306</f>
        <v>0.05</v>
      </c>
      <c r="S307" s="80" t="s">
        <v>463</v>
      </c>
      <c r="T307" s="68"/>
      <c r="U307" s="68"/>
      <c r="V307" s="68"/>
      <c r="W307" s="68"/>
    </row>
    <row r="308">
      <c r="F308" s="419" t="s">
        <v>465</v>
      </c>
      <c r="G308" s="82">
        <f>if('WAP for X-AXIS Walls'!D183="Légère",lookup('WAP for X-AXIS Walls'!D179,Reference!$B$37:$B$42,Reference!$K$37:$K$42),1)</f>
        <v>1</v>
      </c>
      <c r="H308" s="71" t="s">
        <v>466</v>
      </c>
      <c r="I308" s="68"/>
      <c r="J308" s="68"/>
      <c r="L308" s="68"/>
      <c r="O308" s="68"/>
      <c r="Q308" s="419" t="s">
        <v>465</v>
      </c>
      <c r="R308" s="82">
        <f>if('WAP for X-AXIS Walls'!D183="Légère",lookup('WAP for X-AXIS Walls'!D179,Reference!$B$37:$B$42,Reference!$K$37:$K$42),1)</f>
        <v>1</v>
      </c>
      <c r="S308" s="71" t="s">
        <v>466</v>
      </c>
      <c r="T308" s="68"/>
      <c r="U308" s="68"/>
      <c r="V308" s="68"/>
      <c r="W308" s="68"/>
    </row>
    <row r="309">
      <c r="F309" s="68"/>
      <c r="G309" s="68"/>
      <c r="H309" s="68"/>
      <c r="I309" s="68"/>
      <c r="J309" s="68"/>
      <c r="K309" s="68"/>
      <c r="L309" s="68"/>
      <c r="O309" s="68"/>
      <c r="Q309" s="68"/>
      <c r="R309" s="68"/>
      <c r="S309" s="68"/>
      <c r="T309" s="68"/>
      <c r="U309" s="68"/>
      <c r="V309" s="68"/>
      <c r="W309" s="68"/>
    </row>
    <row r="310">
      <c r="F310" s="421" t="s">
        <v>467</v>
      </c>
      <c r="G310" s="364"/>
      <c r="H310" s="364"/>
      <c r="I310" s="364"/>
      <c r="J310" s="68"/>
      <c r="K310" s="68"/>
      <c r="M310" s="68"/>
      <c r="N310" s="421" t="s">
        <v>468</v>
      </c>
      <c r="O310" s="422"/>
      <c r="Q310" s="422"/>
      <c r="R310" s="364"/>
      <c r="S310" s="48"/>
      <c r="T310" s="68"/>
      <c r="U310" s="68"/>
      <c r="V310" s="68"/>
      <c r="W310" s="68"/>
    </row>
    <row r="311">
      <c r="F311" s="68"/>
      <c r="G311" s="48"/>
      <c r="H311" s="82"/>
      <c r="I311" s="68"/>
      <c r="J311" s="68"/>
      <c r="K311" s="68"/>
      <c r="L311" s="68"/>
      <c r="O311" s="68"/>
      <c r="Q311" s="68"/>
      <c r="R311" s="68"/>
      <c r="S311" s="68"/>
      <c r="T311" s="68"/>
      <c r="U311" s="68"/>
      <c r="V311" s="68"/>
      <c r="W311" s="68"/>
    </row>
    <row r="312">
      <c r="E312" s="423"/>
      <c r="F312" s="423" t="s">
        <v>469</v>
      </c>
      <c r="G312" s="384">
        <f>G307</f>
        <v>0.05</v>
      </c>
      <c r="H312" s="80" t="s">
        <v>512</v>
      </c>
      <c r="I312" s="68"/>
      <c r="J312" s="68"/>
      <c r="K312" s="68"/>
      <c r="L312" s="68"/>
      <c r="N312" s="423"/>
      <c r="O312" s="423"/>
      <c r="Q312" s="423" t="s">
        <v>469</v>
      </c>
      <c r="R312" s="384">
        <f>R307</f>
        <v>0.05</v>
      </c>
      <c r="S312" s="80" t="s">
        <v>512</v>
      </c>
      <c r="T312" s="68"/>
      <c r="U312" s="68"/>
      <c r="V312" s="68"/>
      <c r="W312" s="68"/>
    </row>
    <row r="313">
      <c r="E313" s="416"/>
      <c r="F313" s="416" t="s">
        <v>472</v>
      </c>
      <c r="G313" s="387">
        <f>G312*$D$9</f>
        <v>0.185</v>
      </c>
      <c r="H313" s="43" t="s">
        <v>84</v>
      </c>
      <c r="I313" s="71" t="s">
        <v>473</v>
      </c>
      <c r="J313" s="68"/>
      <c r="K313" s="68"/>
      <c r="N313" s="416"/>
      <c r="O313" s="416"/>
      <c r="Q313" s="416" t="s">
        <v>472</v>
      </c>
      <c r="R313" s="387">
        <f>-R312*$D$9</f>
        <v>-0.185</v>
      </c>
      <c r="S313" s="43" t="s">
        <v>84</v>
      </c>
      <c r="T313" s="68"/>
      <c r="U313" s="68"/>
      <c r="V313" s="68"/>
      <c r="W313" s="68"/>
    </row>
    <row r="314">
      <c r="E314" s="419"/>
      <c r="F314" s="419" t="s">
        <v>475</v>
      </c>
      <c r="G314" s="97">
        <f>F261+G313</f>
        <v>1.935</v>
      </c>
      <c r="H314" s="71" t="s">
        <v>476</v>
      </c>
      <c r="I314" s="68"/>
      <c r="J314" s="71"/>
      <c r="K314" s="68"/>
      <c r="N314" s="419"/>
      <c r="O314" s="419"/>
      <c r="Q314" s="419" t="s">
        <v>475</v>
      </c>
      <c r="R314" s="97">
        <f>F261+R313</f>
        <v>1.565</v>
      </c>
      <c r="S314" s="71" t="s">
        <v>477</v>
      </c>
      <c r="T314" s="68"/>
      <c r="U314" s="68"/>
      <c r="V314" s="68"/>
      <c r="W314" s="68"/>
    </row>
    <row r="315">
      <c r="E315" s="423" t="s">
        <v>478</v>
      </c>
      <c r="G315" s="135">
        <f>G314-F259</f>
        <v>0.185</v>
      </c>
      <c r="H315" s="80" t="s">
        <v>84</v>
      </c>
      <c r="I315" s="71"/>
      <c r="J315" s="68"/>
      <c r="K315" s="68"/>
      <c r="N315" s="423"/>
      <c r="Q315" s="26" t="s">
        <v>478</v>
      </c>
      <c r="R315" s="135">
        <f>R314-F259</f>
        <v>-0.185</v>
      </c>
      <c r="S315" s="427" t="s">
        <v>84</v>
      </c>
      <c r="T315" s="68"/>
      <c r="U315" s="68"/>
      <c r="V315" s="68"/>
      <c r="W315" s="68"/>
    </row>
    <row r="316">
      <c r="E316" s="428"/>
      <c r="F316" s="416"/>
      <c r="G316" s="429">
        <f>G315/D227</f>
        <v>0.05</v>
      </c>
      <c r="H316" s="430" t="s">
        <v>479</v>
      </c>
      <c r="I316" s="71"/>
      <c r="J316" s="68"/>
      <c r="K316" s="68"/>
      <c r="N316" s="428"/>
      <c r="O316" s="416"/>
      <c r="Q316" s="416"/>
      <c r="R316" s="429">
        <f>R315/D227</f>
        <v>-0.05</v>
      </c>
      <c r="S316" s="71" t="s">
        <v>512</v>
      </c>
      <c r="T316" s="430" t="s">
        <v>479</v>
      </c>
      <c r="U316" s="68"/>
      <c r="V316" s="68"/>
      <c r="W316" s="68"/>
    </row>
    <row r="317">
      <c r="B317" s="31"/>
      <c r="E317" s="419"/>
      <c r="F317" s="419" t="s">
        <v>480</v>
      </c>
      <c r="G317" s="385">
        <f>'WAP for X-AXIS Walls'!I239</f>
        <v>236.7617472</v>
      </c>
      <c r="H317" s="71" t="s">
        <v>199</v>
      </c>
      <c r="I317" s="26"/>
      <c r="L317" s="68"/>
      <c r="N317" s="419"/>
      <c r="O317" s="419"/>
      <c r="Q317" s="419" t="s">
        <v>480</v>
      </c>
      <c r="R317" s="385">
        <f>'WAP for X-AXIS Walls'!I239</f>
        <v>236.7617472</v>
      </c>
      <c r="S317" s="71" t="s">
        <v>199</v>
      </c>
      <c r="T317" s="68"/>
      <c r="U317" s="68"/>
      <c r="V317" s="68"/>
      <c r="W317" s="68"/>
    </row>
    <row r="318">
      <c r="B318" s="31"/>
      <c r="E318" s="419"/>
      <c r="F318" s="419" t="s">
        <v>481</v>
      </c>
      <c r="G318" s="385">
        <f>G308*'WAP for X-AXIS Walls'!I239*G315</f>
        <v>43.80092323</v>
      </c>
      <c r="H318" s="71" t="s">
        <v>482</v>
      </c>
      <c r="I318" s="26" t="s">
        <v>483</v>
      </c>
      <c r="L318" s="374" t="str">
        <f>if(H318&lt;0,"Dans le sens inverse des aiguilles d'une montre","Dans le sens des aiguilles d'une montre")</f>
        <v>Dans le sens des aiguilles d'une montre</v>
      </c>
      <c r="N318" s="419"/>
      <c r="O318" s="419"/>
      <c r="Q318" s="419" t="s">
        <v>481</v>
      </c>
      <c r="R318" s="385">
        <f>R308*'WAP for X-AXIS Walls'!I239*R315</f>
        <v>-43.80092323</v>
      </c>
      <c r="S318" s="427" t="s">
        <v>482</v>
      </c>
      <c r="T318" s="374" t="str">
        <f>if(R318&lt;0,"Dans le sens inverse des aiguilles d'une montre","Dans le sens des aiguilles d'une montre")</f>
        <v>Dans le sens inverse des aiguilles d'une montre</v>
      </c>
      <c r="U318" s="68"/>
      <c r="V318" s="68"/>
      <c r="W318" s="68"/>
    </row>
    <row r="319">
      <c r="E319" s="423"/>
      <c r="F319" s="423" t="s">
        <v>484</v>
      </c>
      <c r="G319" s="432">
        <f>G318/U252</f>
        <v>0.00002203605171</v>
      </c>
      <c r="H319" s="71" t="s">
        <v>485</v>
      </c>
      <c r="I319" s="26" t="s">
        <v>578</v>
      </c>
      <c r="K319" s="71"/>
      <c r="L319" s="71" t="s">
        <v>487</v>
      </c>
      <c r="N319" s="423"/>
      <c r="O319" s="423"/>
      <c r="Q319" s="423" t="s">
        <v>484</v>
      </c>
      <c r="R319" s="432">
        <f>R318/U252</f>
        <v>-0.00002203605171</v>
      </c>
      <c r="S319" s="80" t="s">
        <v>485</v>
      </c>
      <c r="T319" s="71"/>
      <c r="U319" s="68"/>
      <c r="V319" s="68"/>
      <c r="W319" s="68"/>
    </row>
    <row r="320">
      <c r="F320" s="68"/>
      <c r="G320" s="433">
        <f>G319/2*pi()*360</f>
        <v>0.01246109367</v>
      </c>
      <c r="H320" s="71" t="s">
        <v>488</v>
      </c>
      <c r="I320" s="114" t="s">
        <v>489</v>
      </c>
      <c r="K320" s="114"/>
      <c r="L320" s="68"/>
      <c r="O320" s="68"/>
      <c r="R320" s="433">
        <f>R319/2*pi()*360</f>
        <v>-0.01246109367</v>
      </c>
      <c r="S320" s="71" t="s">
        <v>488</v>
      </c>
      <c r="T320" s="114" t="s">
        <v>489</v>
      </c>
      <c r="U320" s="68"/>
      <c r="V320" s="68"/>
      <c r="W320" s="68"/>
    </row>
    <row r="321">
      <c r="B321" s="68"/>
      <c r="E321" s="68"/>
      <c r="F321" s="68"/>
      <c r="G321" s="68"/>
      <c r="H321" s="68"/>
      <c r="I321" s="474" t="s">
        <v>549</v>
      </c>
      <c r="K321" s="114"/>
      <c r="L321" s="68"/>
      <c r="M321" s="68"/>
      <c r="N321" s="68"/>
      <c r="O321" s="68"/>
      <c r="P321" s="68"/>
      <c r="Q321" s="68"/>
      <c r="R321" s="68"/>
      <c r="S321" s="68"/>
      <c r="T321" s="474" t="s">
        <v>549</v>
      </c>
      <c r="U321" s="68"/>
      <c r="V321" s="68"/>
      <c r="W321" s="68"/>
    </row>
    <row r="322">
      <c r="B322" s="68"/>
      <c r="C322" s="68"/>
      <c r="D322" s="68"/>
      <c r="E322" s="68"/>
      <c r="F322" s="68"/>
      <c r="G322" s="68"/>
      <c r="H322" s="68"/>
      <c r="I322" s="68"/>
      <c r="J322" s="68"/>
      <c r="K322" s="68"/>
      <c r="L322" s="68"/>
      <c r="M322" s="68"/>
      <c r="N322" s="68"/>
      <c r="O322" s="68"/>
      <c r="P322" s="68"/>
      <c r="Q322" s="68"/>
      <c r="R322" s="68"/>
      <c r="S322" s="68"/>
      <c r="T322" s="68"/>
      <c r="U322" s="68"/>
      <c r="V322" s="68"/>
      <c r="W322" s="68"/>
    </row>
  </sheetData>
  <mergeCells count="8">
    <mergeCell ref="B15:C15"/>
    <mergeCell ref="E97:F97"/>
    <mergeCell ref="B124:C124"/>
    <mergeCell ref="E206:F206"/>
    <mergeCell ref="P206:Q206"/>
    <mergeCell ref="B233:C233"/>
    <mergeCell ref="E315:F315"/>
    <mergeCell ref="N315:O315"/>
  </mergeCells>
  <conditionalFormatting sqref="A1:A5 B1:H9 I1:I5 J1:J11 K1:K12 L1:L13 M1:M12 N1:Q5 A7:A9 I7:I9 N7 N9:N11 B15:H56 I15:J32 K15:N29 I36:I56 J38:K56 L44:N56 O52:R56 A53:A56 B81:H103 I81:I82 J81:Q103 R81:R82 I84:I85 R84:R103 S85:T103 U85:V85 I87:I103 U87:U92 U94:U102 V94:V95 V97 V99:V101 E107:E120 A108:A114 B108:D118 F108:H118 I108:I114 J108:J120 K108:M121 N108:Q114 A116:A118 I116:I118 N116 N118:N121 B124:H165 I124:K143 L124:M141 N124:N127 I145:I165 J147:K165 L153:N165 A161:A165 O161:R165 B190:G212 H190:H194 I190:I191 J190:M212 N190:P211 Q190:Q194 R190:R191 I193:I194 R193 H196:I212 Q196:S211 T196:T212 A217:A223 B217:D227 E217:E229 F217:H227 I217:I223 J217:J229 K217:M230 N217:Q223 A225:A227 I225:I227 N225 N227:N230 B233:H274 I233:K252 L233:M250 N233:N236 I254:I274 J256:K274 L262:N274 A270:A274 O270:R274 B299:G321 H299:H303 I299:I300 J299:M321 N299:P320 Q299:Q303 R299:R300 I302:I303 R302 H305:H320 I305:I321 Q305:S320 T316 T318:T321">
    <cfRule type="expression" dxfId="0" priority="1" stopIfTrue="1">
      <formula>NOT(#REF!)</formula>
    </cfRule>
  </conditionalFormatting>
  <conditionalFormatting sqref="A1:A5 B1:H9 I1:I5 J1:J11 K1:K12 L1:L13 M1:M12 N1:Q5 A7:A9 I7:I9 N7 N9:N11 B15:H56 I15:J32 K15:N29 I36:I56 J38:K56 L44:N56 O52:R56 A53:A56 B81:H103 I81:I82 J81:Q103 R81:R82 I84:I85 R84:R103 S85:T103 U85:V85 I87:I103 U87:U92 U94:U102 V94:V95 V97 V99:V101 E107:E120 A108:A114 B108:D118 F108:H118 I108:I114 J108:J120 K108:M121 N108:Q114 A116:A118 I116:I118 N116 N118:N121 B124:H165 I124:K143 L124:M141 N124:N127 I145:I165 J147:K165 L153:N165 A161:A165 O161:R165 B190:G212 H190:H194 I190:I191 J190:M212 N190:P211 Q190:Q194 R190:R191 I193:I194 R193 H196:I212 Q196:S211 T196:T212 A217:A223 B217:D227 E217:E229 F217:H227 I217:I223 J217:J229 K217:M230 N217:Q223 A225:A227 I225:I227 N225 N227:N230 B233:H274 I233:K252 L233:M250 N233:N236 I254:I274 J256:K274 L262:N274 A270:A274 O270:R274 B299:G321 H299:H303 I299:I300 J299:M321 N299:P320 Q299:Q303 R299:R300 I302:I303 R302 H305:H320 I305:I321 Q305:S320 T316 T318:T321">
    <cfRule type="expression" dxfId="1" priority="2">
      <formula>CELL("protect", INDIRECT(ADDRESS(ROW(),COLUMN())))=1</formula>
    </cfRule>
  </conditionalFormatting>
  <printOptions/>
  <pageMargins bottom="0.5" footer="0.0" header="0.0" left="0.5" right="0.5" top="1.0"/>
  <pageSetup paperSize="9" scale="52"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14"/>
    <col customWidth="1" min="2" max="2" width="19.14"/>
    <col customWidth="1" min="3" max="3" width="17.43"/>
    <col customWidth="1" min="4" max="4" width="15.71"/>
    <col customWidth="1" min="5" max="5" width="22.71"/>
    <col customWidth="1" min="6" max="6" width="14.43"/>
    <col customWidth="1" min="7" max="7" width="14.71"/>
    <col customWidth="1" min="8" max="8" width="15.14"/>
    <col customWidth="1" min="9" max="9" width="27.14"/>
    <col customWidth="1" min="10" max="10" width="13.43"/>
    <col customWidth="1" min="11" max="11" width="22.86"/>
    <col customWidth="1" min="12" max="12" width="16.29"/>
    <col customWidth="1" min="13" max="13" width="25.14"/>
    <col customWidth="1" min="14" max="14" width="10.14"/>
    <col customWidth="1" min="15" max="15" width="12.43"/>
    <col customWidth="1" min="16" max="16" width="10.57"/>
    <col customWidth="1" min="17" max="17" width="10.14"/>
    <col customWidth="1" min="18" max="18" width="10.57"/>
    <col customWidth="1" min="19" max="19" width="10.43"/>
    <col customWidth="1" min="20" max="20" width="10.0"/>
    <col customWidth="1" min="21" max="21" width="11.29"/>
    <col customWidth="1" min="22" max="22" width="15.86"/>
    <col customWidth="1" min="23" max="23" width="16.29"/>
  </cols>
  <sheetData>
    <row r="1" ht="24.0" customHeight="1">
      <c r="A1" s="374"/>
      <c r="B1" s="474" t="s">
        <v>579</v>
      </c>
      <c r="AE1" s="129"/>
      <c r="AF1" s="129"/>
      <c r="AG1" s="129"/>
    </row>
    <row r="2" ht="18.0" customHeight="1">
      <c r="A2" s="33"/>
      <c r="B2" s="33"/>
      <c r="C2" s="33"/>
      <c r="D2" s="33"/>
      <c r="E2" s="33"/>
      <c r="F2" s="199"/>
      <c r="G2" s="199"/>
      <c r="H2" s="199"/>
      <c r="I2" s="199"/>
      <c r="J2" s="199"/>
      <c r="K2" s="199"/>
      <c r="L2" s="199"/>
      <c r="M2" s="199"/>
      <c r="N2" s="199"/>
      <c r="O2" s="199"/>
      <c r="P2" s="199"/>
      <c r="Q2" s="199"/>
      <c r="R2" s="199"/>
      <c r="S2" s="199"/>
      <c r="T2" s="199"/>
      <c r="U2" s="479"/>
      <c r="V2" s="206"/>
      <c r="AE2" s="129"/>
      <c r="AF2" s="129"/>
      <c r="AG2" s="129"/>
    </row>
    <row r="3">
      <c r="A3" s="33"/>
      <c r="B3" s="480" t="s">
        <v>580</v>
      </c>
      <c r="C3" s="481"/>
      <c r="D3" s="482">
        <v>15.0</v>
      </c>
      <c r="E3" s="482">
        <v>15.0</v>
      </c>
      <c r="F3" s="482">
        <v>15.0</v>
      </c>
      <c r="G3" s="483">
        <v>20.0</v>
      </c>
      <c r="H3" s="483">
        <v>20.0</v>
      </c>
      <c r="I3" s="484">
        <v>20.0</v>
      </c>
      <c r="J3" s="199"/>
      <c r="K3" s="374"/>
      <c r="L3" s="374"/>
      <c r="M3" s="374"/>
      <c r="N3" s="374"/>
      <c r="O3" s="374"/>
      <c r="P3" s="374"/>
      <c r="Q3" s="374"/>
      <c r="R3" s="374"/>
      <c r="S3" s="374"/>
      <c r="T3" s="374"/>
      <c r="U3" s="374"/>
      <c r="V3" s="374"/>
      <c r="AE3" s="129"/>
      <c r="AF3" s="129"/>
      <c r="AG3" s="129"/>
    </row>
    <row r="4">
      <c r="A4" s="33"/>
      <c r="B4" s="485" t="s">
        <v>581</v>
      </c>
      <c r="C4" s="486"/>
      <c r="D4" s="487">
        <v>40.0</v>
      </c>
      <c r="E4" s="487">
        <v>40.0</v>
      </c>
      <c r="F4" s="487">
        <v>40.0</v>
      </c>
      <c r="G4" s="487">
        <v>40.0</v>
      </c>
      <c r="H4" s="487">
        <v>40.0</v>
      </c>
      <c r="I4" s="488">
        <v>40.0</v>
      </c>
      <c r="J4" s="199" t="str">
        <f>A2 &amp; "-" &amp; B2 &amp; "-" &amp; C2 &amp; "-" &amp; D2 &amp; "-" &amp; E2 &amp; "-" &amp; F2</f>
        <v>-----</v>
      </c>
      <c r="K4" s="374"/>
      <c r="L4" s="374"/>
      <c r="M4" s="374"/>
      <c r="N4" s="374"/>
      <c r="O4" s="374"/>
      <c r="P4" s="374"/>
      <c r="Q4" s="374"/>
      <c r="R4" s="374"/>
      <c r="S4" s="374"/>
      <c r="T4" s="374"/>
      <c r="U4" s="374"/>
      <c r="V4" s="374"/>
      <c r="AE4" s="129"/>
      <c r="AF4" s="129"/>
      <c r="AG4" s="129"/>
    </row>
    <row r="5">
      <c r="A5" s="33"/>
      <c r="B5" s="489" t="s">
        <v>582</v>
      </c>
      <c r="C5" s="490"/>
      <c r="D5" s="491" t="s">
        <v>583</v>
      </c>
      <c r="E5" s="491" t="s">
        <v>583</v>
      </c>
      <c r="F5" s="491" t="s">
        <v>584</v>
      </c>
      <c r="G5" s="491" t="s">
        <v>583</v>
      </c>
      <c r="H5" s="491" t="s">
        <v>583</v>
      </c>
      <c r="I5" s="492" t="s">
        <v>584</v>
      </c>
      <c r="J5" s="199"/>
      <c r="K5" s="374"/>
      <c r="L5" s="374"/>
      <c r="M5" s="374"/>
      <c r="N5" s="374"/>
      <c r="O5" s="374"/>
      <c r="P5" s="374"/>
      <c r="Q5" s="374"/>
      <c r="R5" s="374"/>
      <c r="S5" s="374"/>
      <c r="T5" s="374"/>
      <c r="U5" s="374"/>
      <c r="V5" s="374"/>
      <c r="AE5" s="129"/>
      <c r="AF5" s="129"/>
      <c r="AG5" s="129"/>
    </row>
    <row r="6" ht="18.0" customHeight="1">
      <c r="A6" s="33"/>
      <c r="B6" s="493" t="s">
        <v>585</v>
      </c>
      <c r="C6" s="494"/>
      <c r="D6" s="495" t="s">
        <v>586</v>
      </c>
      <c r="E6" s="495" t="s">
        <v>587</v>
      </c>
      <c r="F6" s="495" t="s">
        <v>587</v>
      </c>
      <c r="G6" s="495" t="s">
        <v>586</v>
      </c>
      <c r="H6" s="495" t="s">
        <v>587</v>
      </c>
      <c r="I6" s="496" t="s">
        <v>587</v>
      </c>
      <c r="J6" s="199"/>
      <c r="K6" s="374"/>
      <c r="L6" s="374"/>
      <c r="M6" s="374"/>
      <c r="N6" s="374"/>
      <c r="O6" s="374"/>
      <c r="P6" s="374"/>
      <c r="Q6" s="374"/>
      <c r="R6" s="374"/>
      <c r="S6" s="374"/>
      <c r="T6" s="374"/>
      <c r="U6" s="374"/>
      <c r="V6" s="374"/>
      <c r="AE6" s="129"/>
      <c r="AF6" s="129"/>
      <c r="AG6" s="129"/>
    </row>
    <row r="7">
      <c r="A7" s="33"/>
      <c r="B7" s="497" t="s">
        <v>588</v>
      </c>
      <c r="C7" s="498" t="s">
        <v>589</v>
      </c>
      <c r="D7" s="499" t="s">
        <v>590</v>
      </c>
      <c r="E7" s="500"/>
      <c r="F7" s="500"/>
      <c r="G7" s="500"/>
      <c r="H7" s="500"/>
      <c r="I7" s="501"/>
      <c r="J7" s="199"/>
      <c r="K7" s="374"/>
      <c r="L7" s="374"/>
      <c r="M7" s="374"/>
      <c r="N7" s="374"/>
      <c r="O7" s="374"/>
      <c r="P7" s="374"/>
      <c r="Q7" s="374"/>
      <c r="R7" s="374"/>
      <c r="S7" s="374"/>
      <c r="T7" s="374"/>
      <c r="U7" s="374"/>
      <c r="V7" s="374"/>
      <c r="AE7" s="129"/>
      <c r="AF7" s="129"/>
      <c r="AG7" s="129"/>
    </row>
    <row r="8" ht="18.0" customHeight="1">
      <c r="A8" s="33"/>
      <c r="B8" s="502" t="s">
        <v>591</v>
      </c>
      <c r="C8" s="503">
        <v>2.5</v>
      </c>
      <c r="D8" s="504">
        <v>0.325</v>
      </c>
      <c r="E8" s="505">
        <v>0.438</v>
      </c>
      <c r="F8" s="505">
        <v>0.595</v>
      </c>
      <c r="G8" s="505">
        <v>0.244</v>
      </c>
      <c r="H8" s="505">
        <v>0.375</v>
      </c>
      <c r="I8" s="506">
        <v>0.559</v>
      </c>
      <c r="J8" s="199"/>
      <c r="K8" s="374"/>
      <c r="L8" s="374"/>
      <c r="M8" s="374"/>
      <c r="N8" s="374"/>
      <c r="O8" s="374"/>
      <c r="P8" s="374"/>
      <c r="Q8" s="374"/>
      <c r="R8" s="374"/>
      <c r="S8" s="374"/>
      <c r="T8" s="374"/>
      <c r="U8" s="374"/>
      <c r="V8" s="374"/>
      <c r="AE8" s="129"/>
      <c r="AF8" s="129"/>
      <c r="AG8" s="129"/>
    </row>
    <row r="9" ht="18.0" customHeight="1">
      <c r="A9" s="33"/>
      <c r="B9" s="507"/>
      <c r="C9" s="503">
        <v>3.0</v>
      </c>
      <c r="D9" s="504">
        <v>0.39</v>
      </c>
      <c r="E9" s="505">
        <v>0.49</v>
      </c>
      <c r="F9" s="505">
        <v>0.63</v>
      </c>
      <c r="G9" s="505">
        <v>0.293</v>
      </c>
      <c r="H9" s="505">
        <v>0.414</v>
      </c>
      <c r="I9" s="506">
        <v>0.585</v>
      </c>
      <c r="J9" s="199"/>
      <c r="K9" s="374"/>
      <c r="L9" s="374"/>
      <c r="M9" s="374"/>
      <c r="N9" s="374"/>
      <c r="O9" s="374"/>
      <c r="P9" s="374"/>
      <c r="Q9" s="374"/>
      <c r="R9" s="374"/>
      <c r="S9" s="374"/>
      <c r="T9" s="374"/>
      <c r="U9" s="374"/>
      <c r="V9" s="374"/>
      <c r="AE9" s="129"/>
      <c r="AF9" s="129"/>
      <c r="AG9" s="129"/>
    </row>
    <row r="10" ht="18.0" customHeight="1">
      <c r="A10" s="33"/>
      <c r="B10" s="502" t="s">
        <v>592</v>
      </c>
      <c r="C10" s="503">
        <v>2.5</v>
      </c>
      <c r="D10" s="504">
        <v>0.325</v>
      </c>
      <c r="E10" s="505">
        <v>0.438</v>
      </c>
      <c r="F10" s="505">
        <v>0.583</v>
      </c>
      <c r="G10" s="505">
        <v>0.244</v>
      </c>
      <c r="H10" s="505">
        <v>0.375</v>
      </c>
      <c r="I10" s="506">
        <v>0.544</v>
      </c>
      <c r="J10" s="199"/>
      <c r="K10" s="374"/>
      <c r="L10" s="374"/>
      <c r="M10" s="374"/>
      <c r="N10" s="374"/>
      <c r="O10" s="374"/>
      <c r="P10" s="374"/>
      <c r="Q10" s="374"/>
      <c r="R10" s="374"/>
      <c r="S10" s="374"/>
      <c r="T10" s="374"/>
      <c r="U10" s="374"/>
      <c r="V10" s="374"/>
      <c r="AE10" s="129"/>
      <c r="AF10" s="129"/>
      <c r="AG10" s="129"/>
    </row>
    <row r="11" ht="18.0" customHeight="1">
      <c r="A11" s="33"/>
      <c r="B11" s="507"/>
      <c r="C11" s="503">
        <v>3.0</v>
      </c>
      <c r="D11" s="504">
        <v>0.39</v>
      </c>
      <c r="E11" s="505">
        <v>0.49</v>
      </c>
      <c r="F11" s="505">
        <v>0.619</v>
      </c>
      <c r="G11" s="505">
        <v>0.293</v>
      </c>
      <c r="H11" s="505">
        <v>0.414</v>
      </c>
      <c r="I11" s="506">
        <v>0.571</v>
      </c>
      <c r="J11" s="199"/>
      <c r="K11" s="374"/>
      <c r="L11" s="374"/>
      <c r="M11" s="374"/>
      <c r="N11" s="374"/>
      <c r="O11" s="374"/>
      <c r="P11" s="374"/>
      <c r="Q11" s="374"/>
      <c r="R11" s="374"/>
      <c r="S11" s="374"/>
      <c r="T11" s="374"/>
      <c r="U11" s="374"/>
      <c r="V11" s="374"/>
      <c r="AE11" s="129"/>
      <c r="AF11" s="129"/>
      <c r="AG11" s="129"/>
    </row>
    <row r="12" ht="18.0" customHeight="1">
      <c r="A12" s="33"/>
      <c r="B12" s="508" t="s">
        <v>593</v>
      </c>
      <c r="C12" s="509">
        <v>2.5</v>
      </c>
      <c r="D12" s="510" t="s">
        <v>594</v>
      </c>
      <c r="E12" s="511" t="s">
        <v>594</v>
      </c>
      <c r="F12" s="511" t="s">
        <v>594</v>
      </c>
      <c r="G12" s="511">
        <v>0.244</v>
      </c>
      <c r="H12" s="511">
        <v>0.473</v>
      </c>
      <c r="I12" s="512" t="s">
        <v>594</v>
      </c>
      <c r="J12" s="199"/>
      <c r="K12" s="374"/>
      <c r="L12" s="374"/>
      <c r="M12" s="374"/>
      <c r="N12" s="374"/>
      <c r="O12" s="374"/>
      <c r="P12" s="374"/>
      <c r="Q12" s="374"/>
      <c r="R12" s="374"/>
      <c r="S12" s="374"/>
      <c r="T12" s="374"/>
      <c r="U12" s="374"/>
      <c r="V12" s="374"/>
      <c r="AE12" s="129"/>
      <c r="AF12" s="129"/>
      <c r="AG12" s="129"/>
    </row>
    <row r="13">
      <c r="A13" s="33"/>
      <c r="B13" s="513" t="s">
        <v>588</v>
      </c>
      <c r="C13" s="514" t="s">
        <v>589</v>
      </c>
      <c r="D13" s="515" t="s">
        <v>595</v>
      </c>
      <c r="E13" s="516"/>
      <c r="F13" s="516"/>
      <c r="G13" s="516"/>
      <c r="H13" s="516"/>
      <c r="I13" s="517"/>
      <c r="J13" s="33"/>
      <c r="K13" s="374"/>
      <c r="L13" s="374"/>
      <c r="M13" s="374"/>
      <c r="N13" s="374"/>
      <c r="O13" s="374"/>
      <c r="P13" s="374"/>
      <c r="Q13" s="374"/>
      <c r="R13" s="374"/>
      <c r="S13" s="374"/>
      <c r="T13" s="374"/>
      <c r="U13" s="374"/>
      <c r="V13" s="374"/>
      <c r="AE13" s="129"/>
      <c r="AF13" s="129"/>
      <c r="AG13" s="129"/>
    </row>
    <row r="14" ht="18.0" customHeight="1">
      <c r="A14" s="33"/>
      <c r="B14" s="502" t="s">
        <v>591</v>
      </c>
      <c r="C14" s="503">
        <v>2.5</v>
      </c>
      <c r="D14" s="518">
        <v>0.74</v>
      </c>
      <c r="E14" s="518">
        <v>1.0</v>
      </c>
      <c r="F14" s="518">
        <v>1.36</v>
      </c>
      <c r="G14" s="519">
        <v>0.74</v>
      </c>
      <c r="H14" s="518">
        <v>1.14</v>
      </c>
      <c r="I14" s="520">
        <v>1.7</v>
      </c>
      <c r="J14" s="33"/>
      <c r="K14" s="374"/>
      <c r="L14" s="374"/>
      <c r="M14" s="374"/>
      <c r="N14" s="374"/>
      <c r="O14" s="374"/>
      <c r="P14" s="374"/>
      <c r="Q14" s="374"/>
      <c r="R14" s="374"/>
      <c r="S14" s="374"/>
      <c r="T14" s="374"/>
      <c r="U14" s="374"/>
      <c r="V14" s="374"/>
      <c r="AE14" s="129"/>
      <c r="AF14" s="129"/>
      <c r="AG14" s="129"/>
    </row>
    <row r="15" ht="18.0" customHeight="1">
      <c r="A15" s="33"/>
      <c r="B15" s="507"/>
      <c r="C15" s="503">
        <v>3.0</v>
      </c>
      <c r="D15" s="518">
        <v>0.89</v>
      </c>
      <c r="E15" s="518">
        <v>1.12</v>
      </c>
      <c r="F15" s="518">
        <v>1.44</v>
      </c>
      <c r="G15" s="521">
        <v>0.89</v>
      </c>
      <c r="H15" s="518">
        <v>1.26</v>
      </c>
      <c r="I15" s="520">
        <v>1.78</v>
      </c>
      <c r="J15" s="33"/>
      <c r="K15" s="374"/>
      <c r="L15" s="374"/>
      <c r="M15" s="374"/>
      <c r="N15" s="374"/>
      <c r="O15" s="374"/>
      <c r="P15" s="374"/>
      <c r="Q15" s="374"/>
      <c r="R15" s="374"/>
      <c r="S15" s="374"/>
      <c r="T15" s="374"/>
      <c r="U15" s="374"/>
      <c r="V15" s="374"/>
      <c r="AE15" s="129"/>
      <c r="AF15" s="129"/>
      <c r="AG15" s="129"/>
    </row>
    <row r="16" ht="18.0" customHeight="1">
      <c r="A16" s="33"/>
      <c r="B16" s="502" t="s">
        <v>592</v>
      </c>
      <c r="C16" s="503">
        <v>2.5</v>
      </c>
      <c r="D16" s="518">
        <v>0.74</v>
      </c>
      <c r="E16" s="518">
        <v>1.0</v>
      </c>
      <c r="F16" s="518">
        <v>1.33</v>
      </c>
      <c r="G16" s="521">
        <v>0.74</v>
      </c>
      <c r="H16" s="518">
        <v>1.14</v>
      </c>
      <c r="I16" s="520">
        <v>1.66</v>
      </c>
      <c r="J16" s="33"/>
      <c r="K16" s="374"/>
      <c r="L16" s="374"/>
      <c r="M16" s="374"/>
      <c r="N16" s="374"/>
      <c r="O16" s="374"/>
      <c r="P16" s="374"/>
      <c r="Q16" s="374"/>
      <c r="R16" s="374"/>
      <c r="S16" s="374"/>
      <c r="T16" s="374"/>
      <c r="U16" s="374"/>
      <c r="V16" s="374"/>
      <c r="AE16" s="129"/>
      <c r="AF16" s="129"/>
      <c r="AG16" s="129"/>
    </row>
    <row r="17" ht="18.0" customHeight="1">
      <c r="A17" s="33"/>
      <c r="B17" s="507"/>
      <c r="C17" s="503">
        <v>3.0</v>
      </c>
      <c r="D17" s="518">
        <v>0.89</v>
      </c>
      <c r="E17" s="518">
        <v>1.12</v>
      </c>
      <c r="F17" s="518">
        <v>1.41</v>
      </c>
      <c r="G17" s="521">
        <v>0.89</v>
      </c>
      <c r="H17" s="518">
        <v>1.26</v>
      </c>
      <c r="I17" s="520">
        <v>1.74</v>
      </c>
      <c r="J17" s="33"/>
      <c r="K17" s="374"/>
      <c r="L17" s="374"/>
      <c r="M17" s="374"/>
      <c r="N17" s="374"/>
      <c r="O17" s="374"/>
      <c r="P17" s="374"/>
      <c r="Q17" s="374"/>
      <c r="R17" s="374"/>
      <c r="S17" s="374"/>
      <c r="T17" s="374"/>
      <c r="U17" s="374"/>
      <c r="V17" s="374"/>
      <c r="AE17" s="129"/>
      <c r="AF17" s="129"/>
      <c r="AG17" s="129"/>
    </row>
    <row r="18" ht="18.0" customHeight="1">
      <c r="A18" s="33"/>
      <c r="B18" s="508" t="s">
        <v>593</v>
      </c>
      <c r="C18" s="509">
        <v>2.5</v>
      </c>
      <c r="D18" s="510" t="s">
        <v>594</v>
      </c>
      <c r="E18" s="511" t="s">
        <v>594</v>
      </c>
      <c r="F18" s="511" t="s">
        <v>594</v>
      </c>
      <c r="G18" s="522">
        <v>0.74</v>
      </c>
      <c r="H18" s="522">
        <v>1.44</v>
      </c>
      <c r="I18" s="512" t="s">
        <v>594</v>
      </c>
      <c r="J18" s="33"/>
      <c r="K18" s="374"/>
      <c r="L18" s="374"/>
      <c r="M18" s="374"/>
      <c r="N18" s="374"/>
      <c r="O18" s="374"/>
      <c r="P18" s="374"/>
      <c r="Q18" s="374"/>
      <c r="R18" s="374"/>
      <c r="S18" s="374"/>
      <c r="T18" s="374"/>
      <c r="U18" s="374"/>
      <c r="V18" s="374"/>
      <c r="AE18" s="129"/>
      <c r="AF18" s="129"/>
      <c r="AG18" s="129"/>
    </row>
    <row r="19" ht="18.0" customHeight="1">
      <c r="A19" s="33"/>
      <c r="B19" s="33"/>
      <c r="C19" s="33"/>
      <c r="D19" s="33"/>
      <c r="E19" s="33"/>
      <c r="F19" s="33"/>
      <c r="G19" s="33"/>
      <c r="H19" s="33"/>
      <c r="I19" s="33"/>
      <c r="J19" s="33"/>
      <c r="K19" s="33"/>
      <c r="L19" s="199"/>
      <c r="M19" s="199"/>
      <c r="N19" s="199"/>
      <c r="O19" s="199"/>
      <c r="P19" s="199"/>
      <c r="Q19" s="199"/>
      <c r="R19" s="199"/>
      <c r="S19" s="199"/>
      <c r="T19" s="199"/>
      <c r="U19" s="479"/>
      <c r="V19" s="206"/>
      <c r="AE19" s="129"/>
      <c r="AF19" s="129"/>
      <c r="AG19" s="129"/>
    </row>
    <row r="20" ht="18.0" customHeight="1">
      <c r="A20" s="33"/>
      <c r="B20" s="33"/>
      <c r="C20" s="33"/>
      <c r="D20" s="33"/>
      <c r="E20" s="33"/>
      <c r="F20" s="33"/>
      <c r="G20" s="33"/>
      <c r="H20" s="33"/>
      <c r="I20" s="33"/>
      <c r="J20" s="33"/>
      <c r="K20" s="33"/>
      <c r="L20" s="199"/>
      <c r="M20" s="199"/>
      <c r="N20" s="199"/>
      <c r="O20" s="199"/>
      <c r="P20" s="199"/>
      <c r="Q20" s="199"/>
      <c r="R20" s="199"/>
      <c r="S20" s="199"/>
      <c r="T20" s="199"/>
      <c r="U20" s="479"/>
      <c r="V20" s="206"/>
      <c r="AE20" s="129"/>
      <c r="AF20" s="129"/>
      <c r="AG20" s="129"/>
    </row>
    <row r="21" ht="18.0" customHeight="1">
      <c r="A21" s="33"/>
      <c r="B21" s="33"/>
      <c r="C21" s="33"/>
      <c r="D21" s="33"/>
      <c r="E21" s="33"/>
      <c r="F21" s="33"/>
      <c r="G21" s="33"/>
      <c r="H21" s="33"/>
      <c r="I21" s="33"/>
      <c r="J21" s="33"/>
      <c r="K21" s="33"/>
      <c r="L21" s="199"/>
      <c r="M21" s="199"/>
      <c r="N21" s="199"/>
      <c r="O21" s="199"/>
      <c r="P21" s="199"/>
      <c r="Q21" s="199"/>
      <c r="R21" s="199"/>
      <c r="S21" s="199"/>
      <c r="T21" s="199"/>
      <c r="U21" s="479"/>
      <c r="V21" s="206"/>
      <c r="AE21" s="129"/>
      <c r="AF21" s="129"/>
      <c r="AG21" s="129"/>
    </row>
    <row r="22" ht="18.0" customHeight="1">
      <c r="A22" s="33"/>
      <c r="B22" s="32" t="s">
        <v>596</v>
      </c>
      <c r="C22" s="32" t="s">
        <v>596</v>
      </c>
      <c r="D22" s="32" t="s">
        <v>597</v>
      </c>
      <c r="E22" s="199"/>
      <c r="F22" s="199"/>
      <c r="G22" s="33"/>
      <c r="H22" s="33"/>
      <c r="I22" s="374"/>
      <c r="J22" s="374"/>
      <c r="K22" s="374"/>
      <c r="L22" s="374"/>
      <c r="M22" s="374"/>
      <c r="N22" s="199"/>
      <c r="O22" s="199"/>
      <c r="P22" s="199"/>
      <c r="Q22" s="199"/>
      <c r="R22" s="199"/>
      <c r="S22" s="199"/>
      <c r="T22" s="199"/>
      <c r="U22" s="479"/>
      <c r="V22" s="206"/>
      <c r="AE22" s="129"/>
      <c r="AF22" s="129"/>
      <c r="AG22" s="129"/>
    </row>
    <row r="23" ht="18.0" customHeight="1">
      <c r="A23" s="33"/>
      <c r="B23" s="523"/>
      <c r="C23" s="523"/>
      <c r="D23" s="523" t="s">
        <v>598</v>
      </c>
      <c r="E23" s="523"/>
      <c r="F23" s="199"/>
      <c r="G23" s="33"/>
      <c r="H23" s="33"/>
      <c r="M23" s="374"/>
      <c r="N23" s="199"/>
      <c r="O23" s="199"/>
      <c r="P23" s="199"/>
      <c r="Q23" s="374"/>
      <c r="R23" s="374"/>
      <c r="S23" s="374"/>
      <c r="T23" s="374"/>
      <c r="U23" s="374"/>
      <c r="V23" s="374"/>
      <c r="AE23" s="129"/>
      <c r="AF23" s="129"/>
      <c r="AG23" s="129"/>
    </row>
    <row r="24" ht="18.0" customHeight="1">
      <c r="A24" s="33"/>
      <c r="B24" s="524" t="s">
        <v>599</v>
      </c>
      <c r="C24" s="523" t="s">
        <v>600</v>
      </c>
      <c r="D24" s="523" t="s">
        <v>601</v>
      </c>
      <c r="E24" s="523" t="s">
        <v>602</v>
      </c>
      <c r="F24" s="199"/>
      <c r="G24" s="33"/>
      <c r="H24" s="33"/>
      <c r="M24" s="374"/>
      <c r="N24" s="199"/>
      <c r="O24" s="199"/>
      <c r="P24" s="199"/>
      <c r="Q24" s="374"/>
      <c r="R24" s="374"/>
      <c r="S24" s="374"/>
      <c r="T24" s="374"/>
      <c r="U24" s="374"/>
      <c r="V24" s="374"/>
      <c r="AE24" s="129"/>
      <c r="AF24" s="129"/>
      <c r="AG24" s="129"/>
    </row>
    <row r="25" ht="15.75" customHeight="1">
      <c r="A25" s="33"/>
      <c r="B25" s="524" t="s">
        <v>603</v>
      </c>
      <c r="C25" s="523" t="s">
        <v>604</v>
      </c>
      <c r="D25" s="523"/>
      <c r="E25" s="523"/>
      <c r="F25" s="199"/>
      <c r="G25" s="33"/>
      <c r="H25" s="33"/>
      <c r="M25" s="374"/>
      <c r="N25" s="199"/>
      <c r="O25" s="199"/>
      <c r="P25" s="199"/>
      <c r="Q25" s="374"/>
      <c r="R25" s="374"/>
      <c r="S25" s="374"/>
      <c r="T25" s="374"/>
      <c r="U25" s="374"/>
      <c r="AE25" s="129"/>
      <c r="AF25" s="129"/>
      <c r="AG25" s="129"/>
    </row>
    <row r="26" ht="15.75" customHeight="1">
      <c r="A26" s="33"/>
      <c r="B26" s="524" t="s">
        <v>239</v>
      </c>
      <c r="C26" s="523">
        <v>1.12</v>
      </c>
      <c r="D26" s="523">
        <v>1.2</v>
      </c>
      <c r="E26" s="523">
        <v>1.2</v>
      </c>
      <c r="F26" s="199"/>
      <c r="M26" s="374"/>
      <c r="N26" s="199"/>
      <c r="O26" s="199"/>
      <c r="P26" s="199"/>
      <c r="AE26" s="129"/>
      <c r="AF26" s="129"/>
      <c r="AG26" s="129"/>
    </row>
    <row r="27" ht="15.75" customHeight="1">
      <c r="A27" s="47"/>
      <c r="B27" s="524" t="s">
        <v>98</v>
      </c>
      <c r="C27" s="523">
        <v>1.59</v>
      </c>
      <c r="D27" s="523">
        <v>1.2</v>
      </c>
      <c r="E27" s="523">
        <v>1.2</v>
      </c>
      <c r="F27" s="199"/>
      <c r="G27" s="33"/>
      <c r="H27" s="33"/>
      <c r="M27" s="374"/>
      <c r="N27" s="199"/>
      <c r="O27" s="199"/>
      <c r="P27" s="199"/>
      <c r="AE27" s="129"/>
      <c r="AF27" s="129"/>
      <c r="AG27" s="129"/>
    </row>
    <row r="28" ht="15.75" customHeight="1">
      <c r="A28" s="525"/>
      <c r="B28" s="524" t="s">
        <v>605</v>
      </c>
      <c r="C28" s="526">
        <v>2.05</v>
      </c>
      <c r="D28" s="523">
        <v>1.2</v>
      </c>
      <c r="E28" s="523">
        <v>1.2</v>
      </c>
      <c r="F28" s="199"/>
      <c r="M28" s="374"/>
      <c r="N28" s="199"/>
      <c r="O28" s="199"/>
      <c r="P28" s="199"/>
      <c r="AE28" s="129"/>
      <c r="AF28" s="129"/>
      <c r="AG28" s="129"/>
    </row>
    <row r="29" ht="15.75" customHeight="1">
      <c r="A29" s="525"/>
      <c r="B29" s="524" t="s">
        <v>104</v>
      </c>
      <c r="C29" s="523">
        <v>2.55</v>
      </c>
      <c r="D29" s="523">
        <v>1.2</v>
      </c>
      <c r="E29" s="523">
        <v>1.2</v>
      </c>
      <c r="F29" s="199"/>
      <c r="M29" s="374"/>
      <c r="N29" s="199"/>
      <c r="O29" s="199"/>
      <c r="P29" s="199"/>
      <c r="AE29" s="129"/>
      <c r="AF29" s="129"/>
      <c r="AG29" s="129"/>
    </row>
    <row r="30" ht="15.75" customHeight="1">
      <c r="A30" s="527"/>
      <c r="B30" s="527"/>
      <c r="C30" s="528"/>
      <c r="D30" s="33"/>
      <c r="E30" s="33"/>
      <c r="G30" s="33"/>
      <c r="H30" s="33"/>
      <c r="I30" s="33"/>
      <c r="J30" s="33"/>
      <c r="K30" s="33"/>
      <c r="M30" s="199"/>
      <c r="N30" s="199"/>
      <c r="O30" s="199"/>
      <c r="P30" s="199"/>
      <c r="AE30" s="129"/>
      <c r="AF30" s="129"/>
      <c r="AG30" s="129"/>
    </row>
    <row r="31" ht="15.75" customHeight="1">
      <c r="A31" s="527"/>
      <c r="B31" s="374"/>
      <c r="C31" s="374"/>
      <c r="G31" s="33"/>
      <c r="H31" s="33"/>
      <c r="I31" s="33"/>
      <c r="J31" s="33"/>
      <c r="K31" s="33"/>
      <c r="AE31" s="129"/>
      <c r="AF31" s="129"/>
      <c r="AG31" s="129"/>
    </row>
    <row r="32" ht="15.75" customHeight="1">
      <c r="B32" s="363" t="s">
        <v>606</v>
      </c>
      <c r="G32" s="30"/>
      <c r="H32" s="30"/>
      <c r="I32" s="30"/>
      <c r="J32" s="30"/>
      <c r="K32" s="30"/>
      <c r="L32" s="26" t="s">
        <v>607</v>
      </c>
      <c r="AC32" s="129"/>
      <c r="AD32" s="129"/>
      <c r="AE32" s="129"/>
    </row>
    <row r="33" ht="15.75" customHeight="1">
      <c r="B33" s="33"/>
      <c r="G33" s="33"/>
      <c r="K33" s="32"/>
      <c r="L33" s="438">
        <v>1.0</v>
      </c>
      <c r="N33" s="32"/>
      <c r="R33" s="26"/>
      <c r="V33" s="26"/>
      <c r="AE33" s="129"/>
      <c r="AF33" s="129"/>
      <c r="AG33" s="129"/>
    </row>
    <row r="34" ht="18.75" customHeight="1">
      <c r="B34" s="33"/>
      <c r="C34" s="33"/>
      <c r="D34" s="33"/>
      <c r="E34" s="33"/>
      <c r="F34" s="33"/>
      <c r="G34" s="33"/>
      <c r="H34" s="33"/>
      <c r="I34" s="33"/>
      <c r="J34" s="33"/>
      <c r="K34" s="36" t="s">
        <v>608</v>
      </c>
      <c r="L34" s="32" t="s">
        <v>609</v>
      </c>
      <c r="M34" s="33"/>
      <c r="N34" s="529" t="s">
        <v>610</v>
      </c>
      <c r="O34" s="530"/>
      <c r="P34" s="530"/>
      <c r="Q34" s="531"/>
      <c r="R34" s="532" t="s">
        <v>611</v>
      </c>
      <c r="S34" s="530"/>
      <c r="T34" s="530"/>
      <c r="U34" s="530"/>
      <c r="V34" s="533" t="s">
        <v>612</v>
      </c>
      <c r="W34" s="530"/>
      <c r="X34" s="530"/>
      <c r="Y34" s="531"/>
      <c r="AE34" s="129"/>
      <c r="AF34" s="129"/>
      <c r="AG34" s="129"/>
    </row>
    <row r="35" ht="18.0" customHeight="1">
      <c r="B35" s="534" t="s">
        <v>613</v>
      </c>
      <c r="C35" s="535" t="s">
        <v>614</v>
      </c>
      <c r="D35" s="536" t="s">
        <v>615</v>
      </c>
      <c r="E35" s="537" t="s">
        <v>616</v>
      </c>
      <c r="F35" s="538" t="s">
        <v>617</v>
      </c>
      <c r="G35" s="529" t="s">
        <v>618</v>
      </c>
      <c r="H35" s="531"/>
      <c r="I35" s="539" t="s">
        <v>619</v>
      </c>
      <c r="J35" s="531"/>
      <c r="K35" s="534" t="s">
        <v>620</v>
      </c>
      <c r="L35" s="537" t="s">
        <v>621</v>
      </c>
      <c r="M35" s="540" t="s">
        <v>622</v>
      </c>
      <c r="N35" s="529" t="s">
        <v>141</v>
      </c>
      <c r="O35" s="531"/>
      <c r="P35" s="182" t="s">
        <v>158</v>
      </c>
      <c r="Q35" s="541"/>
      <c r="R35" s="529" t="s">
        <v>141</v>
      </c>
      <c r="S35" s="531"/>
      <c r="T35" s="182" t="s">
        <v>158</v>
      </c>
      <c r="U35" s="541"/>
      <c r="V35" s="529" t="s">
        <v>141</v>
      </c>
      <c r="W35" s="531"/>
      <c r="X35" s="182" t="s">
        <v>158</v>
      </c>
      <c r="Y35" s="541"/>
      <c r="AE35" s="129"/>
      <c r="AF35" s="129"/>
      <c r="AG35" s="129"/>
    </row>
    <row r="36" ht="22.5" customHeight="1">
      <c r="B36" s="542"/>
      <c r="C36" s="543"/>
      <c r="D36" s="544"/>
      <c r="E36" s="543"/>
      <c r="F36" s="541"/>
      <c r="G36" s="545" t="s">
        <v>623</v>
      </c>
      <c r="H36" s="546" t="s">
        <v>624</v>
      </c>
      <c r="I36" s="545" t="s">
        <v>623</v>
      </c>
      <c r="J36" s="546" t="s">
        <v>624</v>
      </c>
      <c r="K36" s="542"/>
      <c r="L36" s="543"/>
      <c r="M36" s="544"/>
      <c r="N36" s="547" t="s">
        <v>625</v>
      </c>
      <c r="O36" s="548" t="s">
        <v>370</v>
      </c>
      <c r="P36" s="549" t="s">
        <v>625</v>
      </c>
      <c r="Q36" s="548" t="s">
        <v>370</v>
      </c>
      <c r="R36" s="547" t="s">
        <v>625</v>
      </c>
      <c r="S36" s="548" t="s">
        <v>370</v>
      </c>
      <c r="T36" s="549" t="s">
        <v>625</v>
      </c>
      <c r="U36" s="548" t="s">
        <v>370</v>
      </c>
      <c r="V36" s="547" t="s">
        <v>625</v>
      </c>
      <c r="W36" s="548" t="s">
        <v>370</v>
      </c>
      <c r="X36" s="549" t="s">
        <v>625</v>
      </c>
      <c r="Y36" s="548" t="s">
        <v>370</v>
      </c>
      <c r="AE36" s="129"/>
      <c r="AF36" s="129"/>
      <c r="AG36" s="129"/>
    </row>
    <row r="37" ht="15.75" customHeight="1">
      <c r="B37" s="550">
        <v>1.1</v>
      </c>
      <c r="C37" s="551">
        <v>1.0</v>
      </c>
      <c r="D37" s="466">
        <v>1.0</v>
      </c>
      <c r="E37" s="552" t="s">
        <v>234</v>
      </c>
      <c r="F37" s="466">
        <v>1.0</v>
      </c>
      <c r="G37" s="553">
        <v>1.0</v>
      </c>
      <c r="H37" s="554">
        <v>1.0</v>
      </c>
      <c r="I37" s="555">
        <v>0.82</v>
      </c>
      <c r="J37" s="556">
        <v>0.36</v>
      </c>
      <c r="K37" s="426">
        <v>0.0</v>
      </c>
      <c r="L37" s="557">
        <v>1.0</v>
      </c>
      <c r="M37" s="558" t="s">
        <v>626</v>
      </c>
      <c r="N37" s="559">
        <v>1.0</v>
      </c>
      <c r="O37" s="560" t="s">
        <v>162</v>
      </c>
      <c r="P37" s="561">
        <v>1.0</v>
      </c>
      <c r="Q37" s="560" t="s">
        <v>230</v>
      </c>
      <c r="R37" s="562">
        <v>1.0</v>
      </c>
      <c r="S37" s="563">
        <v>3.0</v>
      </c>
      <c r="T37" s="564">
        <v>0.67</v>
      </c>
      <c r="U37" s="563">
        <v>2.0</v>
      </c>
      <c r="V37" s="562">
        <v>1.0</v>
      </c>
      <c r="W37" s="563">
        <v>3.0</v>
      </c>
      <c r="X37" s="564">
        <v>0.67</v>
      </c>
      <c r="Y37" s="563">
        <v>2.0</v>
      </c>
      <c r="AE37" s="129"/>
      <c r="AF37" s="129"/>
      <c r="AG37" s="129"/>
    </row>
    <row r="38" ht="31.5" customHeight="1">
      <c r="B38" s="550">
        <v>1.2</v>
      </c>
      <c r="C38" s="551">
        <v>2.0</v>
      </c>
      <c r="D38" s="466">
        <v>1.0</v>
      </c>
      <c r="E38" s="565" t="s">
        <v>627</v>
      </c>
      <c r="F38" s="466">
        <v>1.1</v>
      </c>
      <c r="G38" s="553">
        <v>1.0</v>
      </c>
      <c r="H38" s="554">
        <v>1.0</v>
      </c>
      <c r="I38" s="555">
        <v>0.91</v>
      </c>
      <c r="J38" s="556">
        <v>0.68</v>
      </c>
      <c r="K38" s="136">
        <f>(H38-H40/2)/H38</f>
        <v>0.795</v>
      </c>
      <c r="L38" s="566">
        <f>(H38-H40)/H38</f>
        <v>0.59</v>
      </c>
      <c r="M38" s="558" t="s">
        <v>628</v>
      </c>
      <c r="N38" s="559">
        <v>1.0</v>
      </c>
      <c r="O38" s="567">
        <v>3.0</v>
      </c>
      <c r="P38" s="561">
        <v>0.67</v>
      </c>
      <c r="Q38" s="567">
        <v>2.0</v>
      </c>
      <c r="R38" s="562">
        <v>1.0</v>
      </c>
      <c r="S38" s="563">
        <v>3.0</v>
      </c>
      <c r="T38" s="564">
        <v>0.67</v>
      </c>
      <c r="U38" s="563">
        <v>2.0</v>
      </c>
      <c r="V38" s="568">
        <v>1.5</v>
      </c>
      <c r="W38" s="563">
        <v>3.0</v>
      </c>
      <c r="X38" s="564">
        <v>0.67</v>
      </c>
      <c r="Y38" s="563">
        <v>2.0</v>
      </c>
      <c r="AE38" s="129"/>
      <c r="AF38" s="129"/>
      <c r="AG38" s="129"/>
    </row>
    <row r="39" ht="31.5" customHeight="1">
      <c r="B39" s="550">
        <v>1.3</v>
      </c>
      <c r="C39" s="551">
        <v>3.0</v>
      </c>
      <c r="D39" s="466">
        <v>1.0</v>
      </c>
      <c r="E39" s="565" t="s">
        <v>627</v>
      </c>
      <c r="F39" s="387">
        <v>1.14</v>
      </c>
      <c r="G39" s="553">
        <v>1.0</v>
      </c>
      <c r="H39" s="554">
        <v>1.0</v>
      </c>
      <c r="I39" s="555">
        <v>0.94</v>
      </c>
      <c r="J39" s="556">
        <v>0.79</v>
      </c>
      <c r="K39" s="426">
        <f>(H39-H42/2)/H39</f>
        <v>0.87</v>
      </c>
      <c r="L39" s="566">
        <f>(H39-H42)/H39</f>
        <v>0.74</v>
      </c>
      <c r="M39" s="558" t="s">
        <v>629</v>
      </c>
      <c r="N39" s="569">
        <v>1.5</v>
      </c>
      <c r="O39" s="567">
        <v>3.0</v>
      </c>
      <c r="P39" s="561">
        <v>0.67</v>
      </c>
      <c r="Q39" s="567">
        <v>2.0</v>
      </c>
      <c r="R39" s="562">
        <v>1.0</v>
      </c>
      <c r="S39" s="563">
        <v>3.0</v>
      </c>
      <c r="T39" s="564">
        <v>0.67</v>
      </c>
      <c r="U39" s="563">
        <v>2.0</v>
      </c>
      <c r="V39" s="568">
        <v>1.5</v>
      </c>
      <c r="W39" s="563">
        <v>3.0</v>
      </c>
      <c r="X39" s="564">
        <v>0.67</v>
      </c>
      <c r="Y39" s="563">
        <v>2.0</v>
      </c>
      <c r="AE39" s="129"/>
      <c r="AF39" s="129"/>
      <c r="AG39" s="129"/>
    </row>
    <row r="40" ht="15.75" customHeight="1">
      <c r="B40" s="550">
        <v>2.2</v>
      </c>
      <c r="C40" s="551">
        <v>2.0</v>
      </c>
      <c r="D40" s="466">
        <v>2.0</v>
      </c>
      <c r="E40" s="552" t="s">
        <v>234</v>
      </c>
      <c r="F40" s="466">
        <v>1.0</v>
      </c>
      <c r="G40" s="553">
        <v>0.61</v>
      </c>
      <c r="H40" s="554">
        <v>0.41</v>
      </c>
      <c r="I40" s="555">
        <v>0.91</v>
      </c>
      <c r="J40" s="556">
        <v>0.68</v>
      </c>
      <c r="K40" s="426">
        <v>0.0</v>
      </c>
      <c r="L40" s="557">
        <v>1.0</v>
      </c>
      <c r="M40" s="558" t="s">
        <v>630</v>
      </c>
      <c r="N40" s="559">
        <v>1.0</v>
      </c>
      <c r="O40" s="560" t="s">
        <v>230</v>
      </c>
      <c r="P40" s="561">
        <v>1.0</v>
      </c>
      <c r="Q40" s="560" t="s">
        <v>230</v>
      </c>
      <c r="R40" s="562">
        <v>1.0</v>
      </c>
      <c r="S40" s="563">
        <v>3.0</v>
      </c>
      <c r="T40" s="564">
        <v>0.67</v>
      </c>
      <c r="U40" s="563">
        <v>2.0</v>
      </c>
      <c r="V40" s="562">
        <v>1.0</v>
      </c>
      <c r="W40" s="563">
        <v>3.0</v>
      </c>
      <c r="X40" s="564">
        <v>0.67</v>
      </c>
      <c r="Y40" s="563">
        <v>2.0</v>
      </c>
      <c r="AE40" s="129"/>
      <c r="AF40" s="129"/>
      <c r="AG40" s="129"/>
    </row>
    <row r="41" ht="15.75" customHeight="1">
      <c r="B41" s="550">
        <v>2.3</v>
      </c>
      <c r="C41" s="551">
        <v>3.0</v>
      </c>
      <c r="D41" s="466">
        <v>2.0</v>
      </c>
      <c r="E41" s="552" t="s">
        <v>225</v>
      </c>
      <c r="F41" s="387">
        <v>1.1</v>
      </c>
      <c r="G41" s="553">
        <v>0.81</v>
      </c>
      <c r="H41" s="554">
        <v>0.74</v>
      </c>
      <c r="I41" s="555">
        <v>0.94</v>
      </c>
      <c r="J41" s="556">
        <v>0.79</v>
      </c>
      <c r="K41" s="136">
        <f>(H41-H42/2)/H41</f>
        <v>0.8243243243</v>
      </c>
      <c r="L41" s="566">
        <f>(H41-H42)/H41</f>
        <v>0.6486486486</v>
      </c>
      <c r="M41" s="558" t="s">
        <v>631</v>
      </c>
      <c r="N41" s="559">
        <v>1.0</v>
      </c>
      <c r="O41" s="567">
        <v>3.0</v>
      </c>
      <c r="P41" s="561">
        <v>0.67</v>
      </c>
      <c r="Q41" s="567">
        <v>2.0</v>
      </c>
      <c r="R41" s="562">
        <v>1.0</v>
      </c>
      <c r="S41" s="563">
        <v>3.0</v>
      </c>
      <c r="T41" s="564">
        <v>0.67</v>
      </c>
      <c r="U41" s="563">
        <v>2.0</v>
      </c>
      <c r="V41" s="568">
        <v>1.5</v>
      </c>
      <c r="W41" s="563">
        <v>3.0</v>
      </c>
      <c r="X41" s="564">
        <v>0.67</v>
      </c>
      <c r="Y41" s="563">
        <v>2.0</v>
      </c>
      <c r="AE41" s="129"/>
      <c r="AF41" s="129"/>
      <c r="AG41" s="129"/>
    </row>
    <row r="42" ht="15.75" customHeight="1">
      <c r="B42" s="570">
        <v>3.3</v>
      </c>
      <c r="C42" s="571">
        <v>3.0</v>
      </c>
      <c r="D42" s="315">
        <v>3.0</v>
      </c>
      <c r="E42" s="572" t="s">
        <v>234</v>
      </c>
      <c r="F42" s="315">
        <v>1.0</v>
      </c>
      <c r="G42" s="573">
        <v>0.44</v>
      </c>
      <c r="H42" s="574">
        <v>0.26</v>
      </c>
      <c r="I42" s="575">
        <v>0.94</v>
      </c>
      <c r="J42" s="576">
        <v>0.79</v>
      </c>
      <c r="K42" s="577">
        <v>0.0</v>
      </c>
      <c r="L42" s="578">
        <v>1.0</v>
      </c>
      <c r="M42" s="579" t="s">
        <v>632</v>
      </c>
      <c r="N42" s="580">
        <v>1.0</v>
      </c>
      <c r="O42" s="581" t="s">
        <v>162</v>
      </c>
      <c r="P42" s="582">
        <v>1.0</v>
      </c>
      <c r="Q42" s="581" t="s">
        <v>162</v>
      </c>
      <c r="R42" s="583">
        <v>1.0</v>
      </c>
      <c r="S42" s="584">
        <v>3.0</v>
      </c>
      <c r="T42" s="585">
        <v>0.67</v>
      </c>
      <c r="U42" s="584">
        <v>2.0</v>
      </c>
      <c r="V42" s="583">
        <v>1.0</v>
      </c>
      <c r="W42" s="584">
        <v>3.0</v>
      </c>
      <c r="X42" s="585">
        <v>0.67</v>
      </c>
      <c r="Y42" s="584">
        <v>2.0</v>
      </c>
      <c r="AE42" s="129"/>
      <c r="AF42" s="129"/>
      <c r="AG42" s="129"/>
    </row>
    <row r="43" ht="15.75" customHeight="1">
      <c r="B43" s="33"/>
      <c r="C43" s="33"/>
      <c r="D43" s="33"/>
      <c r="E43" s="33"/>
      <c r="F43" s="33"/>
      <c r="L43" s="129"/>
      <c r="M43" s="374"/>
      <c r="N43" s="374"/>
      <c r="O43" s="374"/>
      <c r="P43" s="374"/>
      <c r="Q43" s="374"/>
      <c r="R43" s="374"/>
      <c r="S43" s="374"/>
      <c r="T43" s="374"/>
      <c r="U43" s="374"/>
      <c r="V43" s="374"/>
      <c r="W43" s="374"/>
      <c r="X43" s="374"/>
      <c r="Y43" s="374"/>
      <c r="Z43" s="374"/>
      <c r="AC43" s="129"/>
      <c r="AD43" s="129"/>
      <c r="AE43" s="129"/>
    </row>
    <row r="44" ht="15.75" customHeight="1">
      <c r="B44" s="33"/>
      <c r="C44" s="33"/>
      <c r="D44" s="33"/>
      <c r="E44" s="33"/>
      <c r="F44" s="33"/>
      <c r="H44" s="26" t="s">
        <v>633</v>
      </c>
      <c r="M44" s="374"/>
      <c r="N44" s="586" t="s">
        <v>634</v>
      </c>
      <c r="O44" s="5"/>
      <c r="P44" s="5"/>
      <c r="Q44" s="5"/>
      <c r="R44" s="5"/>
      <c r="S44" s="5"/>
      <c r="T44" s="5"/>
      <c r="U44" s="5"/>
      <c r="V44" s="586" t="s">
        <v>635</v>
      </c>
      <c r="W44" s="374"/>
      <c r="X44" s="374"/>
      <c r="Y44" s="374"/>
      <c r="Z44" s="374"/>
      <c r="AB44" s="129"/>
      <c r="AC44" s="129"/>
      <c r="AD44" s="129"/>
    </row>
    <row r="45" ht="15.75" customHeight="1">
      <c r="B45" s="33"/>
      <c r="C45" s="33"/>
      <c r="D45" s="33"/>
      <c r="E45" s="33"/>
      <c r="F45" s="33"/>
      <c r="L45" s="374">
        <f>10/260</f>
        <v>0.03846153846</v>
      </c>
      <c r="M45" s="26"/>
      <c r="N45" s="586" t="s">
        <v>636</v>
      </c>
      <c r="O45" s="5"/>
      <c r="P45" s="5"/>
      <c r="Q45" s="5"/>
      <c r="R45" s="5"/>
      <c r="S45" s="5"/>
      <c r="T45" s="5"/>
      <c r="U45" s="5"/>
      <c r="V45" s="586" t="s">
        <v>637</v>
      </c>
      <c r="W45" s="374"/>
      <c r="X45" s="374"/>
      <c r="Y45" s="374"/>
      <c r="Z45" s="374"/>
    </row>
    <row r="46" ht="15.75" customHeight="1">
      <c r="B46" s="33" t="s">
        <v>638</v>
      </c>
      <c r="C46" s="33" t="s">
        <v>639</v>
      </c>
      <c r="M46" s="374"/>
      <c r="N46" s="586" t="s">
        <v>640</v>
      </c>
      <c r="O46" s="5"/>
      <c r="P46" s="5"/>
      <c r="Q46" s="5"/>
      <c r="R46" s="5"/>
      <c r="S46" s="5"/>
      <c r="T46" s="5"/>
      <c r="U46" s="5"/>
      <c r="V46" s="5"/>
      <c r="W46" s="374"/>
      <c r="X46" s="374"/>
      <c r="Y46" s="374"/>
      <c r="Z46" s="374"/>
    </row>
    <row r="47" ht="15.75" customHeight="1">
      <c r="B47" s="33" t="s">
        <v>641</v>
      </c>
      <c r="C47" s="33" t="s">
        <v>239</v>
      </c>
      <c r="D47" s="33" t="s">
        <v>98</v>
      </c>
      <c r="E47" s="33" t="s">
        <v>605</v>
      </c>
      <c r="F47" s="33" t="s">
        <v>104</v>
      </c>
      <c r="M47" s="374"/>
      <c r="N47" s="374"/>
      <c r="O47" s="374"/>
      <c r="P47" s="374"/>
      <c r="Q47" s="374"/>
      <c r="R47" s="374"/>
      <c r="S47" s="374"/>
      <c r="T47" s="32"/>
      <c r="U47" s="374"/>
      <c r="V47" s="374"/>
      <c r="W47" s="32"/>
      <c r="X47" s="374"/>
      <c r="Y47" s="374"/>
      <c r="Z47" s="374"/>
    </row>
    <row r="48" ht="15.75" customHeight="1">
      <c r="B48" s="33" t="s">
        <v>107</v>
      </c>
      <c r="C48" s="33">
        <v>1.12</v>
      </c>
      <c r="D48" s="33">
        <v>1.59</v>
      </c>
      <c r="E48" s="33">
        <v>2.07</v>
      </c>
      <c r="F48" s="33">
        <v>2.55</v>
      </c>
      <c r="Z48" s="374"/>
    </row>
    <row r="49" ht="15.75" customHeight="1">
      <c r="P49" s="129"/>
      <c r="Q49" s="129"/>
      <c r="R49" s="129"/>
    </row>
    <row r="50" ht="15.75" customHeight="1">
      <c r="B50" s="33" t="s">
        <v>239</v>
      </c>
      <c r="C50" s="33">
        <v>0.8</v>
      </c>
      <c r="D50" s="33">
        <v>0.8</v>
      </c>
      <c r="E50" s="33">
        <v>0.8</v>
      </c>
      <c r="F50" s="33">
        <v>0.8</v>
      </c>
      <c r="G50" s="33" t="s">
        <v>642</v>
      </c>
      <c r="P50" s="129"/>
      <c r="Q50" s="129"/>
      <c r="R50" s="129"/>
    </row>
    <row r="51" ht="15.75" customHeight="1">
      <c r="B51" s="33" t="s">
        <v>98</v>
      </c>
      <c r="C51" s="33">
        <v>0.9</v>
      </c>
      <c r="D51" s="33">
        <v>0.9</v>
      </c>
      <c r="E51" s="33">
        <v>0.9</v>
      </c>
      <c r="F51" s="33">
        <v>0.9</v>
      </c>
      <c r="G51" s="33" t="s">
        <v>643</v>
      </c>
      <c r="P51" s="129"/>
      <c r="Q51" s="129"/>
      <c r="R51" s="129"/>
    </row>
    <row r="52" ht="15.75" customHeight="1">
      <c r="B52" s="33" t="s">
        <v>605</v>
      </c>
      <c r="C52" s="33">
        <v>1.2</v>
      </c>
      <c r="D52" s="33">
        <v>1.2</v>
      </c>
      <c r="E52" s="33">
        <v>1.2</v>
      </c>
      <c r="F52" s="33">
        <v>1.2</v>
      </c>
      <c r="P52" s="129"/>
      <c r="Q52" s="129"/>
      <c r="R52" s="129"/>
    </row>
    <row r="53" ht="15.75" customHeight="1">
      <c r="B53" s="33" t="s">
        <v>104</v>
      </c>
      <c r="C53" s="33">
        <f>1+12/25*0.1</f>
        <v>1.048</v>
      </c>
      <c r="D53" s="33">
        <v>1.0</v>
      </c>
      <c r="E53" s="33">
        <v>1.0</v>
      </c>
      <c r="F53" s="33">
        <v>1.0</v>
      </c>
      <c r="G53" s="33" t="s">
        <v>644</v>
      </c>
      <c r="P53" s="129"/>
      <c r="Q53" s="129"/>
      <c r="R53" s="129"/>
    </row>
    <row r="54" ht="15.75" customHeight="1">
      <c r="B54" s="33" t="s">
        <v>645</v>
      </c>
      <c r="C54" s="587">
        <v>1.2</v>
      </c>
      <c r="D54" s="587">
        <v>1.2</v>
      </c>
      <c r="E54" s="587">
        <v>1.2</v>
      </c>
      <c r="F54" s="587">
        <v>1.2</v>
      </c>
      <c r="G54" s="588" t="s">
        <v>646</v>
      </c>
      <c r="P54" s="129"/>
      <c r="Q54" s="129"/>
      <c r="R54" s="129"/>
    </row>
    <row r="55" ht="15.75" customHeight="1">
      <c r="B55" s="33" t="s">
        <v>647</v>
      </c>
      <c r="C55" s="33" t="s">
        <v>648</v>
      </c>
      <c r="G55" s="589" t="s">
        <v>649</v>
      </c>
      <c r="P55" s="129"/>
      <c r="Q55" s="129"/>
      <c r="R55" s="129"/>
      <c r="AE55" s="129"/>
      <c r="AF55" s="129"/>
      <c r="AG55" s="129"/>
    </row>
    <row r="56" ht="15.75" customHeight="1">
      <c r="B56" s="33"/>
      <c r="C56" s="33"/>
      <c r="D56" s="33"/>
      <c r="E56" s="33"/>
      <c r="F56" s="33"/>
      <c r="AE56" s="129"/>
      <c r="AF56" s="129"/>
      <c r="AG56" s="129"/>
    </row>
    <row r="57" ht="15.75" customHeight="1">
      <c r="B57" s="33"/>
      <c r="C57" s="33"/>
      <c r="D57" s="33"/>
      <c r="E57" s="33"/>
      <c r="F57" s="33"/>
      <c r="AE57" s="129"/>
      <c r="AF57" s="129"/>
      <c r="AG57" s="129"/>
    </row>
    <row r="58" ht="15.75" hidden="1" customHeight="1">
      <c r="B58" s="33"/>
      <c r="C58" s="33"/>
      <c r="D58" s="33"/>
      <c r="E58" s="33"/>
      <c r="F58" s="33"/>
      <c r="AE58" s="129"/>
      <c r="AF58" s="129"/>
      <c r="AG58" s="129"/>
    </row>
    <row r="59" ht="26.25" hidden="1" customHeight="1">
      <c r="B59" s="212" t="s">
        <v>650</v>
      </c>
      <c r="C59" s="33"/>
      <c r="D59" s="33"/>
      <c r="E59" s="33"/>
      <c r="F59" s="33"/>
      <c r="AE59" s="129"/>
      <c r="AF59" s="129"/>
      <c r="AG59" s="129"/>
    </row>
    <row r="60" ht="15.75" hidden="1" customHeight="1">
      <c r="B60" s="33"/>
      <c r="C60" s="33"/>
      <c r="D60" s="33"/>
      <c r="E60" s="33"/>
      <c r="F60" s="33"/>
      <c r="AE60" s="129"/>
      <c r="AF60" s="129"/>
      <c r="AG60" s="129"/>
    </row>
    <row r="61" ht="15.75" hidden="1" customHeight="1">
      <c r="B61" s="32" t="s">
        <v>651</v>
      </c>
      <c r="C61" s="33"/>
      <c r="D61" s="33"/>
      <c r="E61" s="33"/>
      <c r="F61" s="33"/>
      <c r="AE61" s="129"/>
      <c r="AF61" s="129"/>
      <c r="AG61" s="129"/>
    </row>
    <row r="62" ht="15.75" hidden="1" customHeight="1">
      <c r="B62" s="590" t="s">
        <v>652</v>
      </c>
      <c r="C62" s="591"/>
      <c r="D62" s="592"/>
      <c r="E62" s="33"/>
      <c r="F62" s="33"/>
      <c r="AE62" s="129"/>
      <c r="AF62" s="129"/>
      <c r="AG62" s="129"/>
    </row>
    <row r="63" ht="15.75" hidden="1" customHeight="1">
      <c r="B63" s="593" t="s">
        <v>653</v>
      </c>
      <c r="C63" s="33" t="s">
        <v>654</v>
      </c>
      <c r="D63" s="594"/>
      <c r="H63" s="33" t="s">
        <v>655</v>
      </c>
      <c r="AE63" s="129"/>
      <c r="AF63" s="129"/>
      <c r="AG63" s="129"/>
    </row>
    <row r="64" ht="15.75" hidden="1" customHeight="1">
      <c r="B64" s="593" t="s">
        <v>656</v>
      </c>
      <c r="C64" s="33"/>
      <c r="D64" s="594"/>
      <c r="H64" s="33" t="s">
        <v>657</v>
      </c>
      <c r="I64" s="58"/>
      <c r="J64" s="58"/>
      <c r="K64" s="33"/>
      <c r="L64" s="33"/>
      <c r="M64" s="33"/>
      <c r="N64" s="33"/>
      <c r="AE64" s="129"/>
      <c r="AF64" s="129"/>
      <c r="AG64" s="129"/>
    </row>
    <row r="65" ht="15.75" hidden="1" customHeight="1">
      <c r="B65" s="593">
        <v>10.0</v>
      </c>
      <c r="C65" s="33" t="s">
        <v>658</v>
      </c>
      <c r="D65" s="594"/>
      <c r="H65" s="595"/>
      <c r="I65" s="596" t="s">
        <v>659</v>
      </c>
      <c r="J65" s="597"/>
      <c r="K65" s="598"/>
      <c r="L65" s="599" t="s">
        <v>660</v>
      </c>
      <c r="M65" s="600"/>
      <c r="N65" s="601"/>
      <c r="AE65" s="129"/>
      <c r="AF65" s="129"/>
      <c r="AG65" s="129"/>
    </row>
    <row r="66" ht="15.75" hidden="1" customHeight="1">
      <c r="B66" s="593">
        <v>15.0</v>
      </c>
      <c r="C66" s="33">
        <v>0.55</v>
      </c>
      <c r="D66" s="594"/>
      <c r="H66" s="602" t="s">
        <v>661</v>
      </c>
      <c r="I66" s="603" t="s">
        <v>662</v>
      </c>
      <c r="J66" s="604" t="s">
        <v>663</v>
      </c>
      <c r="K66" s="605" t="s">
        <v>664</v>
      </c>
      <c r="L66" s="606"/>
      <c r="M66" s="607"/>
      <c r="N66" s="608"/>
      <c r="AE66" s="129"/>
      <c r="AF66" s="129"/>
      <c r="AG66" s="129"/>
    </row>
    <row r="67" ht="15.75" hidden="1" customHeight="1">
      <c r="B67" s="609">
        <v>20.0</v>
      </c>
      <c r="C67" s="610">
        <v>0.59</v>
      </c>
      <c r="D67" s="611"/>
      <c r="H67" s="596">
        <v>3.0</v>
      </c>
      <c r="I67" s="612" t="s">
        <v>665</v>
      </c>
      <c r="J67" s="613" t="s">
        <v>665</v>
      </c>
      <c r="K67" s="614">
        <v>0.44</v>
      </c>
      <c r="L67" s="595" t="s">
        <v>666</v>
      </c>
      <c r="M67" s="600"/>
      <c r="N67" s="601"/>
      <c r="AE67" s="129"/>
      <c r="AF67" s="129"/>
      <c r="AG67" s="129"/>
    </row>
    <row r="68" ht="15.75" hidden="1" customHeight="1">
      <c r="B68" s="33"/>
      <c r="C68" s="33"/>
      <c r="D68" s="33"/>
      <c r="H68" s="615">
        <v>2.0</v>
      </c>
      <c r="I68" s="616" t="s">
        <v>665</v>
      </c>
      <c r="J68" s="617">
        <v>0.61</v>
      </c>
      <c r="K68" s="618">
        <v>0.81</v>
      </c>
      <c r="L68" s="619"/>
      <c r="N68" s="620"/>
      <c r="AE68" s="129"/>
      <c r="AF68" s="129"/>
      <c r="AG68" s="129"/>
    </row>
    <row r="69" ht="15.75" hidden="1" customHeight="1">
      <c r="B69" s="621" t="s">
        <v>667</v>
      </c>
      <c r="C69" s="33"/>
      <c r="D69" s="33"/>
      <c r="H69" s="622">
        <v>1.0</v>
      </c>
      <c r="I69" s="623">
        <v>1.0</v>
      </c>
      <c r="J69" s="624">
        <v>1.0</v>
      </c>
      <c r="K69" s="625">
        <v>1.0</v>
      </c>
      <c r="L69" s="606"/>
      <c r="M69" s="607"/>
      <c r="N69" s="608"/>
      <c r="AE69" s="129"/>
      <c r="AF69" s="129"/>
      <c r="AG69" s="129"/>
    </row>
    <row r="70" ht="15.75" hidden="1" customHeight="1">
      <c r="B70" s="33"/>
      <c r="C70" s="33"/>
      <c r="D70" s="33"/>
      <c r="H70" s="626" t="s">
        <v>668</v>
      </c>
      <c r="I70" s="627">
        <v>0.82</v>
      </c>
      <c r="J70" s="628">
        <v>0.91</v>
      </c>
      <c r="K70" s="629">
        <v>0.94</v>
      </c>
      <c r="L70" s="630"/>
      <c r="M70" s="525"/>
      <c r="N70" s="631"/>
      <c r="AE70" s="129"/>
      <c r="AF70" s="129"/>
      <c r="AG70" s="129"/>
    </row>
    <row r="71" ht="15.75" hidden="1" customHeight="1">
      <c r="B71" s="206" t="s">
        <v>669</v>
      </c>
      <c r="C71" s="33"/>
      <c r="D71" s="33"/>
      <c r="E71" s="33"/>
      <c r="F71" s="33"/>
      <c r="G71" s="33"/>
      <c r="H71" s="632">
        <v>3.0</v>
      </c>
      <c r="I71" s="612" t="s">
        <v>665</v>
      </c>
      <c r="J71" s="613" t="s">
        <v>665</v>
      </c>
      <c r="K71" s="614">
        <v>0.26</v>
      </c>
      <c r="L71" s="595" t="s">
        <v>670</v>
      </c>
      <c r="M71" s="600"/>
      <c r="N71" s="601"/>
      <c r="O71" s="33"/>
      <c r="AE71" s="129"/>
      <c r="AF71" s="129"/>
      <c r="AG71" s="129"/>
    </row>
    <row r="72" ht="15.75" hidden="1" customHeight="1">
      <c r="B72" s="633">
        <v>1.0</v>
      </c>
      <c r="C72" s="634" t="s">
        <v>671</v>
      </c>
      <c r="D72" s="635"/>
      <c r="E72" s="635"/>
      <c r="F72" s="636"/>
      <c r="G72" s="33"/>
      <c r="H72" s="637">
        <v>2.0</v>
      </c>
      <c r="I72" s="616" t="s">
        <v>665</v>
      </c>
      <c r="J72" s="617">
        <v>0.41</v>
      </c>
      <c r="K72" s="618">
        <v>0.74</v>
      </c>
      <c r="L72" s="619"/>
      <c r="N72" s="620"/>
      <c r="O72" s="33"/>
      <c r="AE72" s="129"/>
      <c r="AF72" s="129"/>
      <c r="AG72" s="129"/>
    </row>
    <row r="73" ht="15.75" hidden="1" customHeight="1">
      <c r="B73" s="33"/>
      <c r="C73" s="33"/>
      <c r="D73" s="33"/>
      <c r="E73" s="33"/>
      <c r="F73" s="33"/>
      <c r="G73" s="33"/>
      <c r="H73" s="638">
        <v>1.0</v>
      </c>
      <c r="I73" s="623">
        <v>1.0</v>
      </c>
      <c r="J73" s="624">
        <v>1.0</v>
      </c>
      <c r="K73" s="625">
        <v>1.0</v>
      </c>
      <c r="L73" s="606"/>
      <c r="M73" s="607"/>
      <c r="N73" s="608"/>
      <c r="O73" s="33"/>
      <c r="AE73" s="129"/>
      <c r="AF73" s="129"/>
      <c r="AG73" s="129"/>
    </row>
    <row r="74" ht="15.75" hidden="1" customHeight="1">
      <c r="B74" s="206" t="s">
        <v>672</v>
      </c>
      <c r="C74" s="33"/>
      <c r="D74" s="33"/>
      <c r="E74" s="33"/>
      <c r="F74" s="33"/>
      <c r="G74" s="33"/>
      <c r="H74" s="33" t="s">
        <v>673</v>
      </c>
      <c r="I74" s="33">
        <v>0.36</v>
      </c>
      <c r="J74" s="33">
        <v>0.68</v>
      </c>
      <c r="K74" s="33">
        <v>0.79</v>
      </c>
      <c r="O74" s="33"/>
      <c r="AE74" s="129"/>
      <c r="AF74" s="129"/>
      <c r="AG74" s="129"/>
    </row>
    <row r="75" ht="15.75" hidden="1" customHeight="1">
      <c r="B75" s="632">
        <v>1.0</v>
      </c>
      <c r="C75" s="639" t="s">
        <v>674</v>
      </c>
      <c r="D75" s="600"/>
      <c r="E75" s="600"/>
      <c r="F75" s="601"/>
      <c r="G75" s="33"/>
      <c r="O75" s="33"/>
      <c r="AE75" s="129"/>
      <c r="AF75" s="129"/>
      <c r="AG75" s="129"/>
    </row>
    <row r="76" ht="15.75" hidden="1" customHeight="1">
      <c r="B76" s="638">
        <v>1.5</v>
      </c>
      <c r="C76" s="640" t="s">
        <v>675</v>
      </c>
      <c r="D76" s="607"/>
      <c r="E76" s="607"/>
      <c r="F76" s="608"/>
      <c r="G76" s="33"/>
      <c r="H76" s="33"/>
      <c r="I76" s="33"/>
      <c r="J76" s="33"/>
      <c r="K76" s="33"/>
      <c r="L76" s="33"/>
      <c r="M76" s="33"/>
      <c r="N76" s="33"/>
      <c r="O76" s="33"/>
      <c r="AE76" s="129"/>
      <c r="AF76" s="129"/>
      <c r="AG76" s="129"/>
    </row>
    <row r="77" ht="15.75" hidden="1" customHeight="1">
      <c r="B77" s="33"/>
      <c r="C77" s="33"/>
      <c r="D77" s="33"/>
      <c r="E77" s="33"/>
      <c r="F77" s="33"/>
      <c r="G77" s="33"/>
      <c r="H77" s="33"/>
      <c r="I77" s="33" t="s">
        <v>676</v>
      </c>
      <c r="J77" s="33"/>
      <c r="K77" s="33"/>
      <c r="L77" s="33"/>
      <c r="M77" s="33"/>
      <c r="N77" s="33"/>
      <c r="O77" s="374"/>
      <c r="P77" s="374"/>
      <c r="Q77" s="374"/>
      <c r="R77" s="374"/>
      <c r="AE77" s="129"/>
      <c r="AF77" s="129"/>
      <c r="AG77" s="129"/>
    </row>
    <row r="78" ht="15.75" hidden="1" customHeight="1">
      <c r="B78" s="206" t="s">
        <v>677</v>
      </c>
      <c r="C78" s="33"/>
      <c r="D78" s="33"/>
      <c r="E78" s="33"/>
      <c r="F78" s="33"/>
      <c r="G78" s="33"/>
      <c r="H78" s="374"/>
      <c r="I78" s="33" t="s">
        <v>678</v>
      </c>
      <c r="J78" s="374"/>
      <c r="K78" s="33" t="s">
        <v>679</v>
      </c>
      <c r="L78" s="374"/>
      <c r="M78" s="374"/>
      <c r="N78" s="374"/>
      <c r="O78" s="374"/>
      <c r="P78" s="374"/>
      <c r="Q78" s="374"/>
      <c r="R78" s="374"/>
      <c r="AE78" s="129"/>
      <c r="AF78" s="129"/>
      <c r="AG78" s="129"/>
    </row>
    <row r="79" ht="15.75" hidden="1" customHeight="1">
      <c r="B79" s="596">
        <v>1.0</v>
      </c>
      <c r="C79" s="641" t="s">
        <v>680</v>
      </c>
      <c r="D79" s="597"/>
      <c r="E79" s="597"/>
      <c r="F79" s="598"/>
      <c r="G79" s="33"/>
      <c r="H79" s="33" t="s">
        <v>26</v>
      </c>
      <c r="I79" s="374"/>
      <c r="J79" s="374"/>
      <c r="K79" s="374"/>
      <c r="L79" s="374"/>
      <c r="M79" s="374"/>
      <c r="N79" s="374"/>
      <c r="O79" s="374"/>
      <c r="P79" s="374"/>
      <c r="Q79" s="374"/>
      <c r="AE79" s="129"/>
      <c r="AF79" s="129"/>
      <c r="AG79" s="129"/>
    </row>
    <row r="80" ht="15.75" hidden="1" customHeight="1">
      <c r="B80" s="622">
        <v>0.75</v>
      </c>
      <c r="C80" s="642" t="s">
        <v>681</v>
      </c>
      <c r="D80" s="643"/>
      <c r="E80" s="643"/>
      <c r="F80" s="644"/>
      <c r="G80" s="33"/>
      <c r="H80" s="374"/>
      <c r="I80" s="33" t="s">
        <v>682</v>
      </c>
      <c r="J80" s="33" t="s">
        <v>683</v>
      </c>
      <c r="K80" s="33" t="s">
        <v>684</v>
      </c>
      <c r="L80" s="374"/>
      <c r="M80" s="33" t="s">
        <v>685</v>
      </c>
      <c r="N80" s="33" t="s">
        <v>686</v>
      </c>
      <c r="O80" s="33" t="s">
        <v>687</v>
      </c>
      <c r="Q80" s="33" t="s">
        <v>688</v>
      </c>
      <c r="AE80" s="129"/>
      <c r="AF80" s="129"/>
      <c r="AG80" s="129"/>
    </row>
    <row r="81" ht="15.75" hidden="1" customHeight="1">
      <c r="B81" s="33"/>
      <c r="C81" s="33"/>
      <c r="D81" s="33"/>
      <c r="E81" s="33"/>
      <c r="F81" s="33"/>
      <c r="G81" s="33"/>
      <c r="H81" s="374"/>
      <c r="I81" s="374"/>
      <c r="J81" s="374"/>
      <c r="K81" s="374"/>
      <c r="L81" s="374"/>
      <c r="M81" s="374"/>
      <c r="N81" s="374"/>
      <c r="O81" s="374"/>
      <c r="AE81" s="129"/>
      <c r="AF81" s="129"/>
      <c r="AG81" s="129"/>
    </row>
    <row r="82" ht="15.75" hidden="1" customHeight="1">
      <c r="B82" s="206" t="s">
        <v>689</v>
      </c>
      <c r="C82" s="33"/>
      <c r="D82" s="33"/>
      <c r="H82" s="33">
        <v>700.0</v>
      </c>
      <c r="I82" s="93" t="str">
        <f t="shared" ref="I82:I86" si="1">sqrt(555/(51.2+0.724*#REF!))</f>
        <v>#REF!</v>
      </c>
      <c r="J82" s="93" t="str">
        <f t="shared" ref="J82:J86" si="2">sqrt(H82/#REF!)</f>
        <v>#REF!</v>
      </c>
      <c r="K82" s="93" t="str">
        <f t="shared" ref="K82:K86" si="3">sqrt(1000/#REF!)</f>
        <v>#REF!</v>
      </c>
      <c r="M82" s="645" t="str">
        <f t="shared" ref="M82:M86" si="4">2*sqrt(#REF!)</f>
        <v>#REF!</v>
      </c>
      <c r="N82" s="645" t="str">
        <f t="shared" ref="N82:N86" si="5">2.25*sqrt(#REF!)</f>
        <v>#REF!</v>
      </c>
      <c r="O82" s="645" t="str">
        <f t="shared" ref="O82:O86" si="6">sqrt(H82/#REF!)</f>
        <v>#REF!</v>
      </c>
      <c r="Q82" s="33" t="str">
        <f t="shared" ref="Q82:Q86" si="7">51.2+0.724*#REF!</f>
        <v>#REF!</v>
      </c>
      <c r="R82" s="33" t="str">
        <f t="shared" ref="R82:R86" si="8">0.8*#REF!</f>
        <v>#REF!</v>
      </c>
      <c r="AE82" s="129"/>
      <c r="AF82" s="129"/>
      <c r="AG82" s="129"/>
    </row>
    <row r="83" ht="15.75" hidden="1" customHeight="1">
      <c r="B83" s="206" t="s">
        <v>690</v>
      </c>
      <c r="C83" s="33"/>
      <c r="D83" s="33"/>
      <c r="E83" s="33"/>
      <c r="F83" s="33"/>
      <c r="G83" s="33"/>
      <c r="H83" s="33">
        <v>700.0</v>
      </c>
      <c r="I83" s="93" t="str">
        <f t="shared" si="1"/>
        <v>#REF!</v>
      </c>
      <c r="J83" s="93" t="str">
        <f t="shared" si="2"/>
        <v>#REF!</v>
      </c>
      <c r="K83" s="93" t="str">
        <f t="shared" si="3"/>
        <v>#REF!</v>
      </c>
      <c r="L83" s="374"/>
      <c r="M83" s="645" t="str">
        <f t="shared" si="4"/>
        <v>#REF!</v>
      </c>
      <c r="N83" s="645" t="str">
        <f t="shared" si="5"/>
        <v>#REF!</v>
      </c>
      <c r="O83" s="645" t="str">
        <f t="shared" si="6"/>
        <v>#REF!</v>
      </c>
      <c r="P83" s="374"/>
      <c r="Q83" s="33" t="str">
        <f t="shared" si="7"/>
        <v>#REF!</v>
      </c>
      <c r="R83" s="33" t="str">
        <f t="shared" si="8"/>
        <v>#REF!</v>
      </c>
      <c r="S83" s="33"/>
      <c r="T83" s="33"/>
      <c r="U83" s="33"/>
      <c r="AE83" s="129"/>
      <c r="AF83" s="129"/>
      <c r="AG83" s="129"/>
    </row>
    <row r="84" ht="15.75" hidden="1" customHeight="1">
      <c r="B84" s="646" t="s">
        <v>691</v>
      </c>
      <c r="C84" s="600"/>
      <c r="D84" s="601"/>
      <c r="E84" s="33"/>
      <c r="F84" s="33"/>
      <c r="G84" s="33"/>
      <c r="H84" s="33">
        <v>700.0</v>
      </c>
      <c r="I84" s="93" t="str">
        <f t="shared" si="1"/>
        <v>#REF!</v>
      </c>
      <c r="J84" s="93" t="str">
        <f t="shared" si="2"/>
        <v>#REF!</v>
      </c>
      <c r="K84" s="93" t="str">
        <f t="shared" si="3"/>
        <v>#REF!</v>
      </c>
      <c r="L84" s="374"/>
      <c r="M84" s="645" t="str">
        <f t="shared" si="4"/>
        <v>#REF!</v>
      </c>
      <c r="N84" s="645" t="str">
        <f t="shared" si="5"/>
        <v>#REF!</v>
      </c>
      <c r="O84" s="645" t="str">
        <f t="shared" si="6"/>
        <v>#REF!</v>
      </c>
      <c r="P84" s="374"/>
      <c r="Q84" s="33" t="str">
        <f t="shared" si="7"/>
        <v>#REF!</v>
      </c>
      <c r="R84" s="33" t="str">
        <f t="shared" si="8"/>
        <v>#REF!</v>
      </c>
      <c r="S84" s="33"/>
      <c r="T84" s="33"/>
      <c r="U84" s="33"/>
      <c r="AE84" s="129"/>
      <c r="AF84" s="129"/>
      <c r="AG84" s="129"/>
    </row>
    <row r="85" ht="15.75" hidden="1" customHeight="1">
      <c r="B85" s="619"/>
      <c r="D85" s="620"/>
      <c r="E85" s="33"/>
      <c r="F85" s="33"/>
      <c r="G85" s="33"/>
      <c r="H85" s="33">
        <v>700.0</v>
      </c>
      <c r="I85" s="93" t="str">
        <f t="shared" si="1"/>
        <v>#REF!</v>
      </c>
      <c r="J85" s="93" t="str">
        <f t="shared" si="2"/>
        <v>#REF!</v>
      </c>
      <c r="K85" s="93" t="str">
        <f t="shared" si="3"/>
        <v>#REF!</v>
      </c>
      <c r="L85" s="374"/>
      <c r="M85" s="645" t="str">
        <f t="shared" si="4"/>
        <v>#REF!</v>
      </c>
      <c r="N85" s="645" t="str">
        <f t="shared" si="5"/>
        <v>#REF!</v>
      </c>
      <c r="O85" s="645" t="str">
        <f t="shared" si="6"/>
        <v>#REF!</v>
      </c>
      <c r="P85" s="374"/>
      <c r="Q85" s="33" t="str">
        <f t="shared" si="7"/>
        <v>#REF!</v>
      </c>
      <c r="R85" s="33" t="str">
        <f t="shared" si="8"/>
        <v>#REF!</v>
      </c>
      <c r="S85" s="33"/>
      <c r="T85" s="33"/>
      <c r="U85" s="33"/>
      <c r="AE85" s="129"/>
      <c r="AF85" s="129"/>
      <c r="AG85" s="129"/>
    </row>
    <row r="86" ht="15.75" hidden="1" customHeight="1">
      <c r="B86" s="606"/>
      <c r="C86" s="607"/>
      <c r="D86" s="608"/>
      <c r="E86" s="33"/>
      <c r="F86" s="33"/>
      <c r="G86" s="33"/>
      <c r="H86" s="33">
        <v>700.0</v>
      </c>
      <c r="I86" s="93" t="str">
        <f t="shared" si="1"/>
        <v>#REF!</v>
      </c>
      <c r="J86" s="93" t="str">
        <f t="shared" si="2"/>
        <v>#REF!</v>
      </c>
      <c r="K86" s="93" t="str">
        <f t="shared" si="3"/>
        <v>#REF!</v>
      </c>
      <c r="L86" s="374"/>
      <c r="M86" s="645" t="str">
        <f t="shared" si="4"/>
        <v>#REF!</v>
      </c>
      <c r="N86" s="645" t="str">
        <f t="shared" si="5"/>
        <v>#REF!</v>
      </c>
      <c r="O86" s="645" t="str">
        <f t="shared" si="6"/>
        <v>#REF!</v>
      </c>
      <c r="P86" s="374"/>
      <c r="Q86" s="33" t="str">
        <f t="shared" si="7"/>
        <v>#REF!</v>
      </c>
      <c r="R86" s="33" t="str">
        <f t="shared" si="8"/>
        <v>#REF!</v>
      </c>
      <c r="S86" s="33"/>
      <c r="T86" s="33"/>
      <c r="U86" s="33"/>
      <c r="AE86" s="129"/>
      <c r="AF86" s="129"/>
      <c r="AG86" s="129"/>
    </row>
    <row r="87" ht="15.75" hidden="1" customHeight="1">
      <c r="B87" s="33"/>
      <c r="C87" s="33"/>
      <c r="D87" s="33"/>
      <c r="E87" s="33"/>
      <c r="F87" s="33"/>
      <c r="G87" s="33"/>
      <c r="H87" s="33">
        <v>700.0</v>
      </c>
      <c r="I87" s="93">
        <f>sqrt(555/(51.2+0.724*E30))</f>
        <v>3.292391798</v>
      </c>
      <c r="J87" s="93" t="str">
        <f>sqrt(H87/E30)</f>
        <v>#DIV/0!</v>
      </c>
      <c r="K87" s="93" t="str">
        <f>sqrt(1000/E30)</f>
        <v>#DIV/0!</v>
      </c>
      <c r="L87" s="374"/>
      <c r="M87" s="645">
        <f>2*sqrt(E30)</f>
        <v>0</v>
      </c>
      <c r="N87" s="645">
        <f>2.25*sqrt(E30)</f>
        <v>0</v>
      </c>
      <c r="O87" s="645" t="str">
        <f>sqrt(H87/E30)</f>
        <v>#DIV/0!</v>
      </c>
      <c r="P87" s="374"/>
      <c r="Q87" s="33">
        <f>51.2+0.724*E30</f>
        <v>51.2</v>
      </c>
      <c r="R87" s="33">
        <f>0.8*E30</f>
        <v>0</v>
      </c>
      <c r="S87" s="33"/>
      <c r="T87" s="33"/>
      <c r="U87" s="33"/>
      <c r="AE87" s="129"/>
      <c r="AF87" s="129"/>
      <c r="AG87" s="129"/>
    </row>
    <row r="88" ht="15.75" hidden="1" customHeight="1">
      <c r="B88" s="206" t="s">
        <v>692</v>
      </c>
      <c r="C88" s="33"/>
      <c r="D88" s="33"/>
      <c r="E88" s="33"/>
      <c r="F88" s="33"/>
      <c r="G88" s="33"/>
      <c r="H88" s="374"/>
      <c r="I88" s="374"/>
      <c r="J88" s="33" t="s">
        <v>693</v>
      </c>
      <c r="K88" s="374"/>
      <c r="L88" s="374"/>
      <c r="M88" s="374"/>
      <c r="N88" s="374"/>
      <c r="O88" s="374"/>
      <c r="P88" s="374"/>
      <c r="Q88" s="374"/>
      <c r="R88" s="374"/>
      <c r="S88" s="33"/>
      <c r="T88" s="33"/>
      <c r="U88" s="33"/>
      <c r="AE88" s="129"/>
      <c r="AF88" s="129"/>
      <c r="AG88" s="129"/>
    </row>
    <row r="89" ht="15.75" hidden="1" customHeight="1">
      <c r="B89" s="206" t="s">
        <v>694</v>
      </c>
      <c r="C89" s="33"/>
      <c r="D89" s="33"/>
      <c r="E89" s="33"/>
      <c r="F89" s="33"/>
      <c r="G89" s="33"/>
      <c r="H89" s="33"/>
      <c r="I89" s="33"/>
      <c r="J89" s="33"/>
      <c r="K89" s="33"/>
      <c r="L89" s="33"/>
      <c r="M89" s="33"/>
      <c r="N89" s="33"/>
      <c r="O89" s="33"/>
      <c r="P89" s="33"/>
      <c r="Q89" s="33"/>
      <c r="R89" s="33"/>
      <c r="S89" s="33"/>
      <c r="T89" s="33"/>
      <c r="U89" s="33"/>
      <c r="AE89" s="129"/>
      <c r="AF89" s="129"/>
      <c r="AG89" s="129"/>
    </row>
    <row r="90" ht="15.75" hidden="1" customHeight="1">
      <c r="B90" s="646" t="s">
        <v>695</v>
      </c>
      <c r="C90" s="600"/>
      <c r="D90" s="601"/>
      <c r="E90" s="33"/>
      <c r="F90" s="33" t="s">
        <v>696</v>
      </c>
      <c r="G90" s="33"/>
      <c r="H90" s="33"/>
      <c r="I90" s="33"/>
      <c r="J90" s="33"/>
      <c r="K90" s="33"/>
      <c r="L90" s="33"/>
      <c r="M90" s="33"/>
      <c r="N90" s="33"/>
      <c r="O90" s="33"/>
      <c r="P90" s="33"/>
      <c r="Q90" s="33"/>
      <c r="R90" s="33"/>
      <c r="S90" s="33"/>
      <c r="T90" s="33"/>
      <c r="U90" s="33"/>
      <c r="AE90" s="129"/>
      <c r="AF90" s="129"/>
      <c r="AG90" s="129"/>
    </row>
    <row r="91" ht="15.75" hidden="1" customHeight="1">
      <c r="B91" s="619"/>
      <c r="D91" s="620"/>
      <c r="E91" s="33"/>
      <c r="F91" s="647" t="s">
        <v>697</v>
      </c>
      <c r="G91" s="647"/>
      <c r="H91" s="33"/>
      <c r="I91" s="33"/>
      <c r="J91" s="33"/>
      <c r="K91" s="33"/>
      <c r="L91" s="33"/>
      <c r="M91" s="33"/>
      <c r="N91" s="33"/>
      <c r="O91" s="374"/>
      <c r="P91" s="33"/>
      <c r="Q91" s="33"/>
      <c r="R91" s="33"/>
      <c r="S91" s="33"/>
      <c r="T91" s="33"/>
      <c r="U91" s="33"/>
      <c r="AE91" s="129"/>
      <c r="AF91" s="129"/>
      <c r="AG91" s="129"/>
    </row>
    <row r="92" ht="15.75" hidden="1" customHeight="1">
      <c r="B92" s="606"/>
      <c r="C92" s="607"/>
      <c r="D92" s="608"/>
      <c r="E92" s="33"/>
      <c r="F92" s="648" t="s">
        <v>698</v>
      </c>
      <c r="G92" s="649" t="s">
        <v>699</v>
      </c>
      <c r="H92" s="33"/>
      <c r="I92" s="33"/>
      <c r="J92" s="33"/>
      <c r="K92" s="33"/>
      <c r="L92" s="33"/>
      <c r="M92" s="33"/>
      <c r="N92" s="33"/>
      <c r="O92" s="374"/>
      <c r="P92" s="33"/>
      <c r="Q92" s="33"/>
      <c r="R92" s="33"/>
      <c r="S92" s="33"/>
      <c r="T92" s="33"/>
      <c r="U92" s="33"/>
      <c r="AE92" s="129"/>
      <c r="AF92" s="129"/>
      <c r="AG92" s="129"/>
    </row>
    <row r="93" ht="15.75" hidden="1" customHeight="1">
      <c r="B93" s="33"/>
      <c r="C93" s="33"/>
      <c r="D93" s="33"/>
      <c r="E93" s="33"/>
      <c r="F93" s="650"/>
      <c r="G93" s="650"/>
      <c r="H93" s="33"/>
      <c r="I93" s="33"/>
      <c r="J93" s="33"/>
      <c r="K93" s="33"/>
      <c r="L93" s="33"/>
      <c r="M93" s="33"/>
      <c r="N93" s="33"/>
      <c r="O93" s="374"/>
      <c r="P93" s="33"/>
      <c r="Q93" s="33"/>
      <c r="R93" s="33"/>
      <c r="S93" s="33"/>
      <c r="T93" s="33"/>
      <c r="U93" s="33"/>
      <c r="AE93" s="129"/>
      <c r="AF93" s="129"/>
      <c r="AG93" s="129"/>
    </row>
    <row r="94" ht="15.75" hidden="1" customHeight="1">
      <c r="B94" s="647" t="s">
        <v>700</v>
      </c>
      <c r="C94" s="647"/>
      <c r="D94" s="647"/>
      <c r="F94" s="632" t="s">
        <v>701</v>
      </c>
      <c r="G94" s="651">
        <v>1.55</v>
      </c>
      <c r="H94" s="33"/>
      <c r="I94" s="33"/>
      <c r="J94" s="33"/>
      <c r="K94" s="33"/>
      <c r="L94" s="33"/>
      <c r="M94" s="33"/>
      <c r="N94" s="33"/>
      <c r="O94" s="374"/>
      <c r="AE94" s="129"/>
      <c r="AF94" s="129"/>
      <c r="AG94" s="129"/>
    </row>
    <row r="95" ht="15.75" hidden="1" customHeight="1">
      <c r="B95" s="648" t="s">
        <v>702</v>
      </c>
      <c r="C95" s="652" t="s">
        <v>703</v>
      </c>
      <c r="D95" s="598"/>
      <c r="F95" s="637" t="s">
        <v>704</v>
      </c>
      <c r="G95" s="653">
        <v>1.28</v>
      </c>
      <c r="H95" s="33"/>
      <c r="I95" s="33"/>
      <c r="J95" s="33"/>
      <c r="K95" s="33"/>
      <c r="L95" s="33"/>
      <c r="M95" s="33"/>
      <c r="N95" s="33"/>
      <c r="O95" s="374"/>
      <c r="AE95" s="129"/>
      <c r="AF95" s="129"/>
      <c r="AG95" s="129"/>
    </row>
    <row r="96" ht="15.75" hidden="1" customHeight="1">
      <c r="B96" s="650"/>
      <c r="C96" s="654" t="s">
        <v>705</v>
      </c>
      <c r="D96" s="655" t="s">
        <v>706</v>
      </c>
      <c r="F96" s="637" t="s">
        <v>707</v>
      </c>
      <c r="G96" s="653">
        <v>1.0</v>
      </c>
      <c r="H96" s="33"/>
      <c r="I96" s="33"/>
      <c r="J96" s="33"/>
      <c r="K96" s="33"/>
      <c r="L96" s="33"/>
      <c r="M96" s="33"/>
      <c r="N96" s="33"/>
      <c r="O96" s="374"/>
      <c r="AE96" s="129"/>
      <c r="AF96" s="129"/>
      <c r="AG96" s="129"/>
    </row>
    <row r="97" ht="15.75" hidden="1" customHeight="1">
      <c r="B97" s="656" t="s">
        <v>708</v>
      </c>
      <c r="C97" s="657">
        <v>1.25</v>
      </c>
      <c r="D97" s="658">
        <v>2.5</v>
      </c>
      <c r="F97" s="637" t="s">
        <v>709</v>
      </c>
      <c r="G97" s="653">
        <v>0.85</v>
      </c>
      <c r="H97" s="33"/>
      <c r="I97" s="33"/>
      <c r="J97" s="33"/>
      <c r="K97" s="33"/>
      <c r="L97" s="33"/>
      <c r="M97" s="33"/>
      <c r="N97" s="33"/>
      <c r="O97" s="374"/>
      <c r="AE97" s="129"/>
      <c r="AF97" s="129"/>
      <c r="AG97" s="129"/>
    </row>
    <row r="98" ht="15.75" hidden="1" customHeight="1">
      <c r="B98" s="638" t="s">
        <v>710</v>
      </c>
      <c r="C98" s="659">
        <v>1.5</v>
      </c>
      <c r="D98" s="660">
        <v>3.0</v>
      </c>
      <c r="F98" s="661" t="s">
        <v>711</v>
      </c>
      <c r="G98" s="662">
        <v>0.71</v>
      </c>
      <c r="H98" s="33"/>
      <c r="I98" s="33"/>
      <c r="J98" s="33"/>
      <c r="K98" s="33"/>
      <c r="L98" s="33"/>
      <c r="M98" s="33"/>
      <c r="N98" s="33"/>
      <c r="O98" s="374"/>
      <c r="AE98" s="129"/>
      <c r="AF98" s="129"/>
      <c r="AG98" s="129"/>
    </row>
    <row r="99" ht="15.75" hidden="1" customHeight="1">
      <c r="F99" s="638" t="s">
        <v>712</v>
      </c>
      <c r="G99" s="663">
        <v>0.66</v>
      </c>
      <c r="H99" s="33"/>
      <c r="I99" s="33"/>
      <c r="J99" s="33"/>
      <c r="K99" s="33"/>
      <c r="L99" s="33"/>
      <c r="M99" s="33"/>
      <c r="N99" s="33"/>
      <c r="O99" s="374"/>
      <c r="AE99" s="129"/>
      <c r="AF99" s="129"/>
      <c r="AG99" s="129"/>
    </row>
    <row r="100" ht="15.75" hidden="1" customHeight="1">
      <c r="F100" s="33"/>
      <c r="G100" s="33"/>
      <c r="H100" s="33"/>
      <c r="I100" s="33"/>
      <c r="J100" s="33"/>
      <c r="K100" s="33"/>
      <c r="L100" s="33"/>
      <c r="M100" s="33"/>
      <c r="N100" s="33"/>
      <c r="O100" s="374"/>
      <c r="AE100" s="129"/>
      <c r="AF100" s="129"/>
      <c r="AG100" s="129"/>
    </row>
    <row r="101" ht="15.75" hidden="1" customHeight="1">
      <c r="G101" s="33"/>
      <c r="H101" s="33"/>
      <c r="I101" s="33"/>
      <c r="J101" s="33"/>
      <c r="K101" s="33"/>
      <c r="L101" s="33"/>
      <c r="M101" s="33"/>
      <c r="AE101" s="129"/>
      <c r="AF101" s="129"/>
      <c r="AG101" s="129"/>
    </row>
    <row r="102" ht="15.75" hidden="1" customHeight="1">
      <c r="B102" s="33" t="s">
        <v>713</v>
      </c>
      <c r="C102" s="33"/>
      <c r="D102" s="33"/>
      <c r="E102" s="33"/>
      <c r="F102" s="33"/>
      <c r="G102" s="33" t="s">
        <v>714</v>
      </c>
      <c r="H102" s="58"/>
      <c r="I102" s="58"/>
      <c r="J102" s="33"/>
      <c r="K102" s="33"/>
      <c r="L102" s="33"/>
      <c r="M102" s="33"/>
      <c r="N102" s="374"/>
      <c r="O102" s="374"/>
      <c r="P102" s="374"/>
      <c r="Q102" s="374"/>
      <c r="R102" s="374"/>
      <c r="S102" s="374"/>
      <c r="T102" s="374"/>
      <c r="U102" s="374"/>
      <c r="AE102" s="129"/>
      <c r="AF102" s="129"/>
      <c r="AG102" s="129"/>
    </row>
    <row r="103" ht="15.75" hidden="1" customHeight="1">
      <c r="B103" s="33" t="s">
        <v>715</v>
      </c>
      <c r="C103" s="33"/>
      <c r="D103" s="33"/>
      <c r="E103" s="33"/>
      <c r="F103" s="33"/>
      <c r="G103" s="595"/>
      <c r="H103" s="596" t="s">
        <v>659</v>
      </c>
      <c r="I103" s="597"/>
      <c r="J103" s="598"/>
      <c r="K103" s="599" t="s">
        <v>660</v>
      </c>
      <c r="L103" s="600"/>
      <c r="M103" s="601"/>
      <c r="N103" s="527"/>
      <c r="O103" s="374"/>
      <c r="P103" s="374"/>
      <c r="Q103" s="374"/>
      <c r="R103" s="374"/>
      <c r="S103" s="374"/>
      <c r="T103" s="374"/>
      <c r="U103" s="374"/>
      <c r="AE103" s="129"/>
      <c r="AF103" s="129"/>
      <c r="AG103" s="129"/>
    </row>
    <row r="104" ht="15.75" hidden="1" customHeight="1">
      <c r="B104" s="664" t="s">
        <v>716</v>
      </c>
      <c r="C104" s="596" t="s">
        <v>717</v>
      </c>
      <c r="D104" s="597"/>
      <c r="E104" s="598"/>
      <c r="F104" s="33"/>
      <c r="G104" s="602" t="s">
        <v>661</v>
      </c>
      <c r="H104" s="603" t="s">
        <v>662</v>
      </c>
      <c r="I104" s="604" t="s">
        <v>663</v>
      </c>
      <c r="J104" s="605" t="s">
        <v>664</v>
      </c>
      <c r="K104" s="606"/>
      <c r="L104" s="607"/>
      <c r="M104" s="608"/>
      <c r="N104" s="527"/>
      <c r="O104" s="374"/>
      <c r="P104" s="374"/>
      <c r="Q104" s="374"/>
      <c r="R104" s="374"/>
      <c r="S104" s="374"/>
      <c r="T104" s="374"/>
      <c r="U104" s="374"/>
      <c r="AE104" s="129"/>
      <c r="AF104" s="129"/>
      <c r="AG104" s="129"/>
    </row>
    <row r="105" ht="15.75" hidden="1" customHeight="1">
      <c r="B105" s="665"/>
      <c r="C105" s="666" t="s">
        <v>718</v>
      </c>
      <c r="D105" s="667"/>
      <c r="E105" s="668"/>
      <c r="F105" s="33"/>
      <c r="G105" s="596">
        <v>3.0</v>
      </c>
      <c r="H105" s="612" t="s">
        <v>665</v>
      </c>
      <c r="I105" s="613" t="s">
        <v>665</v>
      </c>
      <c r="J105" s="614">
        <v>0.39</v>
      </c>
      <c r="K105" s="595" t="s">
        <v>666</v>
      </c>
      <c r="L105" s="600"/>
      <c r="M105" s="601"/>
      <c r="N105" s="525"/>
      <c r="O105" s="374"/>
      <c r="P105" s="374"/>
      <c r="Q105" s="374"/>
      <c r="R105" s="374"/>
      <c r="S105" s="374"/>
      <c r="T105" s="374"/>
      <c r="U105" s="374"/>
      <c r="AE105" s="129"/>
      <c r="AF105" s="129"/>
      <c r="AG105" s="129"/>
    </row>
    <row r="106" ht="15.75" hidden="1" customHeight="1">
      <c r="B106" s="638" t="s">
        <v>719</v>
      </c>
      <c r="C106" s="669" t="s">
        <v>704</v>
      </c>
      <c r="D106" s="670" t="s">
        <v>707</v>
      </c>
      <c r="E106" s="671" t="s">
        <v>720</v>
      </c>
      <c r="F106" s="33"/>
      <c r="G106" s="615">
        <v>2.0</v>
      </c>
      <c r="H106" s="616" t="s">
        <v>665</v>
      </c>
      <c r="I106" s="617">
        <v>0.57</v>
      </c>
      <c r="J106" s="618">
        <v>0.67</v>
      </c>
      <c r="K106" s="619"/>
      <c r="M106" s="620"/>
      <c r="N106" s="525"/>
      <c r="O106" s="374"/>
      <c r="P106" s="374"/>
      <c r="Q106" s="374"/>
      <c r="R106" s="374"/>
      <c r="S106" s="374"/>
      <c r="T106" s="374"/>
      <c r="U106" s="374"/>
      <c r="AE106" s="129"/>
      <c r="AF106" s="129"/>
      <c r="AG106" s="129"/>
    </row>
    <row r="107" ht="15.75" hidden="1" customHeight="1">
      <c r="B107" s="656" t="s">
        <v>707</v>
      </c>
      <c r="C107" s="672">
        <v>1.3</v>
      </c>
      <c r="D107" s="673">
        <v>1.0</v>
      </c>
      <c r="E107" s="674">
        <v>1.0</v>
      </c>
      <c r="F107" s="33"/>
      <c r="G107" s="622">
        <v>1.0</v>
      </c>
      <c r="H107" s="623">
        <v>1.0</v>
      </c>
      <c r="I107" s="624">
        <v>0.86</v>
      </c>
      <c r="J107" s="625">
        <v>0.79</v>
      </c>
      <c r="K107" s="606"/>
      <c r="L107" s="607"/>
      <c r="M107" s="608"/>
      <c r="N107" s="525"/>
      <c r="O107" s="374"/>
      <c r="P107" s="374"/>
      <c r="Q107" s="374"/>
      <c r="R107" s="374"/>
      <c r="S107" s="374"/>
      <c r="T107" s="374"/>
      <c r="U107" s="374"/>
      <c r="AE107" s="129"/>
      <c r="AF107" s="129"/>
      <c r="AG107" s="129"/>
    </row>
    <row r="108" ht="15.75" hidden="1" customHeight="1">
      <c r="B108" s="637" t="s">
        <v>709</v>
      </c>
      <c r="C108" s="672">
        <v>1.5</v>
      </c>
      <c r="D108" s="673">
        <v>1.2</v>
      </c>
      <c r="E108" s="675">
        <v>1.0</v>
      </c>
      <c r="F108" s="33"/>
      <c r="G108" s="632">
        <v>3.0</v>
      </c>
      <c r="H108" s="612" t="s">
        <v>665</v>
      </c>
      <c r="I108" s="613" t="s">
        <v>665</v>
      </c>
      <c r="J108" s="614">
        <v>0.14</v>
      </c>
      <c r="K108" s="595" t="s">
        <v>670</v>
      </c>
      <c r="L108" s="600"/>
      <c r="M108" s="601"/>
      <c r="N108" s="525"/>
      <c r="O108" s="374"/>
      <c r="P108" s="374"/>
      <c r="Q108" s="374"/>
      <c r="R108" s="374"/>
      <c r="S108" s="374"/>
      <c r="T108" s="374"/>
      <c r="U108" s="374"/>
      <c r="AE108" s="129"/>
      <c r="AF108" s="129"/>
      <c r="AG108" s="129"/>
    </row>
    <row r="109" ht="15.75" hidden="1" customHeight="1">
      <c r="B109" s="676" t="s">
        <v>711</v>
      </c>
      <c r="C109" s="672">
        <v>1.5</v>
      </c>
      <c r="D109" s="673">
        <v>1.4</v>
      </c>
      <c r="E109" s="677">
        <v>1.2</v>
      </c>
      <c r="F109" s="33"/>
      <c r="G109" s="637">
        <v>2.0</v>
      </c>
      <c r="H109" s="616" t="s">
        <v>665</v>
      </c>
      <c r="I109" s="617">
        <v>0.2</v>
      </c>
      <c r="J109" s="618">
        <v>0.43</v>
      </c>
      <c r="K109" s="619"/>
      <c r="M109" s="620"/>
      <c r="N109" s="525"/>
      <c r="O109" s="374"/>
      <c r="P109" s="374"/>
      <c r="Q109" s="374"/>
      <c r="R109" s="374"/>
      <c r="S109" s="374"/>
      <c r="T109" s="374"/>
      <c r="U109" s="374"/>
      <c r="AE109" s="129"/>
      <c r="AF109" s="129"/>
      <c r="AG109" s="129"/>
    </row>
    <row r="110" ht="15.75" hidden="1" customHeight="1">
      <c r="B110" s="638" t="s">
        <v>721</v>
      </c>
      <c r="C110" s="678">
        <v>1.5</v>
      </c>
      <c r="D110" s="679">
        <v>1.5</v>
      </c>
      <c r="E110" s="660">
        <v>1.3</v>
      </c>
      <c r="F110" s="33"/>
      <c r="G110" s="638">
        <v>1.0</v>
      </c>
      <c r="H110" s="623">
        <v>0.33</v>
      </c>
      <c r="I110" s="624">
        <v>0.5</v>
      </c>
      <c r="J110" s="625">
        <v>0.57</v>
      </c>
      <c r="K110" s="606"/>
      <c r="L110" s="607"/>
      <c r="M110" s="608"/>
      <c r="N110" s="525"/>
      <c r="O110" s="374"/>
      <c r="P110" s="374"/>
      <c r="Q110" s="374"/>
      <c r="R110" s="374"/>
      <c r="S110" s="374"/>
      <c r="T110" s="374"/>
      <c r="U110" s="374"/>
      <c r="AE110" s="129"/>
      <c r="AF110" s="129"/>
      <c r="AG110" s="129"/>
    </row>
    <row r="111" ht="15.75" hidden="1" customHeight="1">
      <c r="B111" s="33"/>
      <c r="C111" s="33"/>
      <c r="D111" s="33"/>
      <c r="E111" s="33"/>
      <c r="F111" s="33"/>
      <c r="G111" s="374"/>
      <c r="H111" s="33"/>
      <c r="I111" s="33"/>
      <c r="J111" s="33"/>
      <c r="K111" s="33"/>
      <c r="L111" s="33"/>
      <c r="M111" s="33"/>
      <c r="N111" s="374"/>
      <c r="O111" s="374"/>
      <c r="P111" s="374"/>
      <c r="Q111" s="374"/>
      <c r="R111" s="374"/>
      <c r="S111" s="374"/>
      <c r="T111" s="374"/>
      <c r="U111" s="374"/>
      <c r="AE111" s="129"/>
      <c r="AF111" s="129"/>
      <c r="AG111" s="129"/>
    </row>
    <row r="112" ht="15.75" hidden="1" customHeight="1">
      <c r="E112" s="33"/>
      <c r="P112" s="374"/>
      <c r="Q112" s="374"/>
      <c r="R112" s="374"/>
      <c r="S112" s="374"/>
      <c r="T112" s="374"/>
      <c r="U112" s="374"/>
      <c r="AE112" s="129"/>
      <c r="AF112" s="129"/>
      <c r="AG112" s="129"/>
    </row>
    <row r="113" ht="15.75" hidden="1" customHeight="1">
      <c r="AE113" s="129"/>
      <c r="AF113" s="129"/>
      <c r="AG113" s="129"/>
    </row>
    <row r="114" ht="15.75" hidden="1" customHeight="1">
      <c r="AE114" s="129"/>
      <c r="AF114" s="129"/>
      <c r="AG114" s="129"/>
    </row>
    <row r="116">
      <c r="A116" s="680"/>
      <c r="B116" s="680"/>
      <c r="C116" s="680"/>
      <c r="D116" s="680"/>
      <c r="E116" s="680"/>
    </row>
    <row r="123">
      <c r="A123" s="681"/>
      <c r="B123" s="681"/>
    </row>
  </sheetData>
  <mergeCells count="44">
    <mergeCell ref="C35:C36"/>
    <mergeCell ref="D35:D36"/>
    <mergeCell ref="E35:E36"/>
    <mergeCell ref="F35:F36"/>
    <mergeCell ref="C72:F72"/>
    <mergeCell ref="C75:F75"/>
    <mergeCell ref="C76:F76"/>
    <mergeCell ref="C79:F79"/>
    <mergeCell ref="C80:F80"/>
    <mergeCell ref="B95:B96"/>
    <mergeCell ref="B104:B105"/>
    <mergeCell ref="K105:M107"/>
    <mergeCell ref="K108:M110"/>
    <mergeCell ref="B84:D86"/>
    <mergeCell ref="B90:D92"/>
    <mergeCell ref="F92:F93"/>
    <mergeCell ref="G92:G93"/>
    <mergeCell ref="C95:D95"/>
    <mergeCell ref="H103:J103"/>
    <mergeCell ref="K103:M104"/>
    <mergeCell ref="G35:H35"/>
    <mergeCell ref="I35:J35"/>
    <mergeCell ref="K35:K36"/>
    <mergeCell ref="L35:L36"/>
    <mergeCell ref="I65:K65"/>
    <mergeCell ref="L65:N66"/>
    <mergeCell ref="L67:N69"/>
    <mergeCell ref="L71:N73"/>
    <mergeCell ref="M35:M36"/>
    <mergeCell ref="N35:O35"/>
    <mergeCell ref="P35:Q35"/>
    <mergeCell ref="R35:S35"/>
    <mergeCell ref="T35:U35"/>
    <mergeCell ref="V35:W35"/>
    <mergeCell ref="B3:C3"/>
    <mergeCell ref="B4:C4"/>
    <mergeCell ref="B5:C5"/>
    <mergeCell ref="N34:Q34"/>
    <mergeCell ref="R34:U34"/>
    <mergeCell ref="V34:Y34"/>
    <mergeCell ref="B35:B36"/>
    <mergeCell ref="X35:Y35"/>
    <mergeCell ref="C104:E104"/>
    <mergeCell ref="C105:E105"/>
  </mergeCells>
  <conditionalFormatting sqref="L43 M43:Y47 Z43:Z48">
    <cfRule type="expression" dxfId="0" priority="1" stopIfTrue="1">
      <formula>NOT(#REF!)</formula>
    </cfRule>
  </conditionalFormatting>
  <conditionalFormatting sqref="L43 M43:Y47 Z43:Z48">
    <cfRule type="expression" dxfId="1" priority="2">
      <formula>CELL("protect", INDIRECT(ADDRESS(ROW(),COLUMN())))=1</formula>
    </cfRule>
  </conditionalFormatting>
  <conditionalFormatting sqref="A1:A31 B2:C31 D2:E25 F2:F29 G2:H25 I2:L22 M2:P30 Q2:U25 V2:V24 B43:F45 B56:D98 E56:F62 E71:G81 O71:O81 H76:N81 P77:Q79 R77:R78 E83:E93 F83:F100 G83:M111 N83:O100 P83:U93 B102:D111 E102:E112 F102:F111 N102:O111 P102:U112 A123:B123">
    <cfRule type="expression" dxfId="0" priority="3" stopIfTrue="1">
      <formula>NOT(#REF!)</formula>
    </cfRule>
  </conditionalFormatting>
  <conditionalFormatting sqref="A1:A31 B2:C31 D2:E25 F2:F29 G2:H25 I2:L22 M2:P30 Q2:U25 V2:V24 B43:F45 B56:D98 E56:F62 E71:G81 O71:O81 H76:N81 P77:Q79 R77:R78 E83:E93 F83:F100 G83:M111 N83:O100 P83:U93 B102:D111 E102:E112 F102:F111 N102:O111 P102:U112 A123:B123">
    <cfRule type="expression" dxfId="1" priority="4">
      <formula>CELL("protect", INDIRECT(ADDRESS(ROW(),COLUMN())))=1</formula>
    </cfRule>
  </conditionalFormatting>
  <conditionalFormatting sqref="H64:N73">
    <cfRule type="expression" dxfId="1" priority="5">
      <formula>CELL("protect", INDIRECT(ADDRESS(ROW(),COLUMN())))=1</formula>
    </cfRule>
  </conditionalFormatting>
  <conditionalFormatting sqref="H64:N73">
    <cfRule type="expression" dxfId="0" priority="6" stopIfTrue="1">
      <formula>NOT(#REF!)</formula>
    </cfRule>
  </conditionalFormatting>
  <drawing r:id="rId1"/>
</worksheet>
</file>